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естр" state="visible" r:id="rId4"/>
    <sheet sheetId="2" name="Заказчики" state="visible" r:id="rId5"/>
    <sheet sheetId="3" name="Поставщики" state="visible" r:id="rId6"/>
    <sheet sheetId="4" name="Договоры" state="visible" r:id="rId7"/>
    <sheet sheetId="5" name="Справочники" state="visible" r:id="rId8"/>
    <sheet sheetId="6" name="Дашборд" state="visible" r:id="rId9"/>
    <sheet sheetId="7" name="Инструкция" state="visible" r:id="rId10"/>
  </sheets>
  <definedNames>
    <definedName name="Заказчики_Названия">OFFSET('Заказчики'!$B$5,0,0,MAX(1,COUNTA('Заказчики'!$B$5:$B$154)),1)</definedName>
    <definedName name="Поставщики_Названия">OFFSET('Поставщики'!$B$5,0,0,MAX(1,COUNTA('Поставщики'!$B$5:$B$154)),1)</definedName>
    <definedName name="Реестр_Процедуры">OFFSET('Реестр'!$C$3,0,0,MAX(1,COUNTA('Реестр'!$C$3:$C$202)),1)</definedName>
    <definedName name="Причины">'Справочники'!$A$66:$A$79</definedName>
    <definedName name="Причины_Отказа">'Справочники'!$A$66:$A$72</definedName>
    <definedName name="Причины_Проигрыша">'Справочники'!$A$73:$A$79</definedName>
    <definedName name="Сотрудники_Список">'Справочники'!$A$96:$A$98</definedName>
    <definedName name="Курс_ЦБ">'Справочники'!$B$4</definedName>
  </definedNames>
  <calcPr calcId="171027" fullCalcOnLoad="1"/>
</workbook>
</file>

<file path=xl/sharedStrings.xml><?xml version="1.0" encoding="utf-8"?>
<sst xmlns="http://schemas.openxmlformats.org/spreadsheetml/2006/main" count="712" uniqueCount="385">
  <si>
    <t>Мониторинг</t>
  </si>
  <si>
    <t>Подготовка заявки</t>
  </si>
  <si>
    <t>Подача</t>
  </si>
  <si>
    <t>Подведение итогов</t>
  </si>
  <si>
    <t>Служебное</t>
  </si>
  <si>
    <t>№ п/п</t>
  </si>
  <si>
    <t>Площадка</t>
  </si>
  <si>
    <t>№ процедуры</t>
  </si>
  <si>
    <t>Заказчик</t>
  </si>
  <si>
    <t>Предмет закупки</t>
  </si>
  <si>
    <t>НМЦ</t>
  </si>
  <si>
    <t>Дата окончания подачи</t>
  </si>
  <si>
    <t>Статус</t>
  </si>
  <si>
    <t>Приоритет</t>
  </si>
  <si>
    <t>Ссылка на закупку</t>
  </si>
  <si>
    <t>Ответственный за мониторинг</t>
  </si>
  <si>
    <t>Статус КП</t>
  </si>
  <si>
    <t>Валюта</t>
  </si>
  <si>
    <t>Цена КП в валюте</t>
  </si>
  <si>
    <t>Цена КП в рублях</t>
  </si>
  <si>
    <t>Поставщик</t>
  </si>
  <si>
    <t>Ответственный за заявку</t>
  </si>
  <si>
    <t>Обеспечение заявки</t>
  </si>
  <si>
    <t>Сумма обеспечения</t>
  </si>
  <si>
    <t>Статус обеспечения</t>
  </si>
  <si>
    <t>Ссылка на папку с документами</t>
  </si>
  <si>
    <t>Статус подачи</t>
  </si>
  <si>
    <t>Дата подачи документов</t>
  </si>
  <si>
    <t>Ссылка на заявку</t>
  </si>
  <si>
    <t>Дата переторжки</t>
  </si>
  <si>
    <t>Цена до переторжки</t>
  </si>
  <si>
    <t>Цена после переторжки</t>
  </si>
  <si>
    <t>% снижения</t>
  </si>
  <si>
    <t>Кто принимал решение об участии в переторжке</t>
  </si>
  <si>
    <t>Дата подведения итогов</t>
  </si>
  <si>
    <t>Результат</t>
  </si>
  <si>
    <t>Причина</t>
  </si>
  <si>
    <t>№ договора</t>
  </si>
  <si>
    <t>Дата договора</t>
  </si>
  <si>
    <t>Сумма договора</t>
  </si>
  <si>
    <t>Статус исполнения</t>
  </si>
  <si>
    <t>Дата оплаты</t>
  </si>
  <si>
    <t>Этап</t>
  </si>
  <si>
    <t>Итог для дашборда</t>
  </si>
  <si>
    <t>Bidzaar</t>
  </si>
  <si>
    <t>BZ-2026-004512</t>
  </si>
  <si>
    <t>ООО «Ромашка»</t>
  </si>
  <si>
    <t>ДЕМО. Поставка кабельно-проводниковой продукции</t>
  </si>
  <si>
    <t>Новая</t>
  </si>
  <si>
    <t>Средний</t>
  </si>
  <si>
    <t>https://bidzaar.com/procedures/004512</t>
  </si>
  <si>
    <t>Тендерный специалист</t>
  </si>
  <si>
    <t>B2B-центр</t>
  </si>
  <si>
    <t>B2B-880502</t>
  </si>
  <si>
    <t>ООО «Сибнефтесервис»</t>
  </si>
  <si>
    <t>ДЕМО. Электрощитовое оборудование для КТП</t>
  </si>
  <si>
    <t>Взята в работу</t>
  </si>
  <si>
    <t>Высокий</t>
  </si>
  <si>
    <t>https://b2b-center.ru/market/880502</t>
  </si>
  <si>
    <t>Запрошено</t>
  </si>
  <si>
    <t>Рубли</t>
  </si>
  <si>
    <t>ООО «Электрощит-Трейд»</t>
  </si>
  <si>
    <t>Не нужно</t>
  </si>
  <si>
    <t>Не требуется</t>
  </si>
  <si>
    <t>Не подана</t>
  </si>
  <si>
    <t>BZ-2026-004530</t>
  </si>
  <si>
    <t>ГБУЗ «Городская больница № 7»</t>
  </si>
  <si>
    <t>ДЕМО. Компьютерная техника и оргтехника</t>
  </si>
  <si>
    <t>Готовится заявка</t>
  </si>
  <si>
    <t>https://bidzaar.com/procedures/004530</t>
  </si>
  <si>
    <t>Смежный сотрудник</t>
  </si>
  <si>
    <t>Согласовано</t>
  </si>
  <si>
    <t>Доллары</t>
  </si>
  <si>
    <t>ООО «АйТи-Поставка»</t>
  </si>
  <si>
    <t>Нужно</t>
  </si>
  <si>
    <t>Заявка на оплату</t>
  </si>
  <si>
    <t>https://disk.example.ru/tendery/BZ-2026-004530</t>
  </si>
  <si>
    <t>Готовится</t>
  </si>
  <si>
    <t>B2B-880517</t>
  </si>
  <si>
    <t>АО «Волга-Энерго»</t>
  </si>
  <si>
    <t>ДЕМО. Строительные материалы для склада</t>
  </si>
  <si>
    <t>Заявка подана</t>
  </si>
  <si>
    <t>https://b2b-center.ru/market/880517</t>
  </si>
  <si>
    <t>Отправлено</t>
  </si>
  <si>
    <t>ООО «Стройматериал-Юг»</t>
  </si>
  <si>
    <t>Внесено</t>
  </si>
  <si>
    <t>https://disk.example.ru/tendery/B2B-880517</t>
  </si>
  <si>
    <t>Подана</t>
  </si>
  <si>
    <t>https://b2b-center.ru/market/880517/bid</t>
  </si>
  <si>
    <t>BZ-2026-004401</t>
  </si>
  <si>
    <t>ДЕМО. Кабель силовой ВВГнг(А)-LS</t>
  </si>
  <si>
    <t>Переторжка</t>
  </si>
  <si>
    <t>https://bidzaar.com/procedures/004401</t>
  </si>
  <si>
    <t>ООО «Кабель-Опт»</t>
  </si>
  <si>
    <t>https://disk.example.ru/tendery/BZ-2026-004401</t>
  </si>
  <si>
    <t>https://bidzaar.com/procedures/004401/bid</t>
  </si>
  <si>
    <t>Руководитель</t>
  </si>
  <si>
    <t>BZ-2026-004377</t>
  </si>
  <si>
    <t>ДЕМО. Крепёж для трубопроводной обвязки</t>
  </si>
  <si>
    <t>Проиграна</t>
  </si>
  <si>
    <t>https://bidzaar.com/procedures/004377</t>
  </si>
  <si>
    <t>ООО «ПромКрепёж»</t>
  </si>
  <si>
    <t>https://disk.example.ru/tendery/BZ-2026-004377</t>
  </si>
  <si>
    <t>https://bidzaar.com/procedures/004377/bid</t>
  </si>
  <si>
    <t>Цена выше победителя</t>
  </si>
  <si>
    <t>BZ-2026-004310</t>
  </si>
  <si>
    <t>ДЕМО. Кабельная продукция для подстанции</t>
  </si>
  <si>
    <t>Договор заключён</t>
  </si>
  <si>
    <t>https://bidzaar.com/procedures/004310</t>
  </si>
  <si>
    <t>Возвращено</t>
  </si>
  <si>
    <t>https://disk.example.ru/tendery/BZ-2026-004310</t>
  </si>
  <si>
    <t>https://bidzaar.com/procedures/004310/bid</t>
  </si>
  <si>
    <t>Выиграна</t>
  </si>
  <si>
    <t>Д-2026-118</t>
  </si>
  <si>
    <t>Исполняется</t>
  </si>
  <si>
    <t>Заказчики</t>
  </si>
  <si>
    <t>Справочник заказчиков. Только отсюда заказчик попадает в реестр — вписать название руками нельзя.</t>
  </si>
  <si>
    <t>Демонстрационные записи — замените на свои. Новая строка сразу появляется в выпадающем списке реестра, отдельно ничего настраивать не нужно.</t>
  </si>
  <si>
    <t>ИНН</t>
  </si>
  <si>
    <t>Название</t>
  </si>
  <si>
    <t>Юридический адрес</t>
  </si>
  <si>
    <t>Контактное лицо</t>
  </si>
  <si>
    <t>Телефон</t>
  </si>
  <si>
    <t>E-mail</t>
  </si>
  <si>
    <t>Регион</t>
  </si>
  <si>
    <t>7701012342</t>
  </si>
  <si>
    <t>101000, г. Москва, ул. Мясницкая, д. 12, оф. 305</t>
  </si>
  <si>
    <t>Петрова Анна Сергеевна</t>
  </si>
  <si>
    <t>+7 (495) 000-10-01</t>
  </si>
  <si>
    <t>zakupki@romashka-demo.ru</t>
  </si>
  <si>
    <t>Москва</t>
  </si>
  <si>
    <t>7801023450</t>
  </si>
  <si>
    <t>АО «Северный порт»</t>
  </si>
  <si>
    <t>190000, г. Санкт-Петербург, наб. реки Мойки, д. 58</t>
  </si>
  <si>
    <t>Ковалёв Игорь Львович</t>
  </si>
  <si>
    <t>+7 (812) 000-10-02</t>
  </si>
  <si>
    <t>tender@sevport-demo.ru</t>
  </si>
  <si>
    <t>Санкт-Петербург</t>
  </si>
  <si>
    <t>6658034560</t>
  </si>
  <si>
    <t>ПАО «Уралмаш-Комплект»</t>
  </si>
  <si>
    <t>620014, г. Екатеринбург, ул. Малышева, д. 51</t>
  </si>
  <si>
    <t>Сафина Регина Маратовна</t>
  </si>
  <si>
    <t>+7 (343) 000-10-03</t>
  </si>
  <si>
    <t>zakupki@uralmash-demo.ru</t>
  </si>
  <si>
    <t>Свердловская область</t>
  </si>
  <si>
    <t>7203045673</t>
  </si>
  <si>
    <t>625000, г. Тюмень, ул. Республики, д. 142</t>
  </si>
  <si>
    <t>Гордеев Павел Дмитриевич</t>
  </si>
  <si>
    <t>+7 (3452) 00-10-04</t>
  </si>
  <si>
    <t>tender@sibneft-demo.ru</t>
  </si>
  <si>
    <t>Тюменская область</t>
  </si>
  <si>
    <t>5260056780</t>
  </si>
  <si>
    <t>603005, г. Нижний Новгород, ул. Ульянова, д. 10</t>
  </si>
  <si>
    <t>Морозова Елена Викторовна</t>
  </si>
  <si>
    <t>+7 (831) 000-10-05</t>
  </si>
  <si>
    <t>zakupki@gb7-demo.ru</t>
  </si>
  <si>
    <t>Нижегородская область</t>
  </si>
  <si>
    <t>6316067891</t>
  </si>
  <si>
    <t>443010, г. Самара, ул. Молодогвардейская, д. 204</t>
  </si>
  <si>
    <t>Никитин Андрей Олегович</t>
  </si>
  <si>
    <t>+7 (846) 000-10-06</t>
  </si>
  <si>
    <t>tender@volga-energo-demo.ru</t>
  </si>
  <si>
    <t>Самарская область</t>
  </si>
  <si>
    <t>Поставщики</t>
  </si>
  <si>
    <t>Справочник поставщиков. Только отсюда поставщик попадает в реестр — вписать название руками нельзя.</t>
  </si>
  <si>
    <t>Категория товара/услуги</t>
  </si>
  <si>
    <t>7721078905</t>
  </si>
  <si>
    <t>Кабельно-проводниковая продукция</t>
  </si>
  <si>
    <t>109029, г. Москва, ул. Нижегородская, д. 32, стр. 4</t>
  </si>
  <si>
    <t>Волков Сергей Иванович</t>
  </si>
  <si>
    <t>+7 (495) 000-20-01</t>
  </si>
  <si>
    <t>sales@kabel-opt-demo.ru</t>
  </si>
  <si>
    <t>7812089012</t>
  </si>
  <si>
    <t>Метизы и крепёж</t>
  </si>
  <si>
    <t>196084, г. Санкт-Петербург, Московский пр-т, д. 91</t>
  </si>
  <si>
    <t>Егорова Мария Павловна</t>
  </si>
  <si>
    <t>+7 (812) 000-20-02</t>
  </si>
  <si>
    <t>zakaz@promkrepezh-demo.ru</t>
  </si>
  <si>
    <t>5040090120</t>
  </si>
  <si>
    <t>ООО «ТехноСпецодежда»</t>
  </si>
  <si>
    <t>Спецодежда и средства защиты</t>
  </si>
  <si>
    <t>140053, Московская обл., г. Котельники, Дзержинское ш., д. 7</t>
  </si>
  <si>
    <t>Лебедев Артём Юрьевич</t>
  </si>
  <si>
    <t>+7 (498) 000-20-03</t>
  </si>
  <si>
    <t>opt@spec-demo.ru</t>
  </si>
  <si>
    <t>Московская область</t>
  </si>
  <si>
    <t>6161101233</t>
  </si>
  <si>
    <t>Электрооборудование и щитовая продукция</t>
  </si>
  <si>
    <t>344090, г. Ростов-на-Дону, пр-т Стачки, д. 231</t>
  </si>
  <si>
    <t>Тимофеева Ольга Борисовна</t>
  </si>
  <si>
    <t>+7 (863) 000-20-04</t>
  </si>
  <si>
    <t>sale@elektroshchit-demo.ru</t>
  </si>
  <si>
    <t>Ростовская область</t>
  </si>
  <si>
    <t>5902112343</t>
  </si>
  <si>
    <t>Компьютерная и оргтехника</t>
  </si>
  <si>
    <t>614000, г. Пермь, ул. Ленина, д. 68</t>
  </si>
  <si>
    <t>Шарипов Ринат Фаритович</t>
  </si>
  <si>
    <t>+7 (342) 000-20-05</t>
  </si>
  <si>
    <t>sales@it-postavka-demo.ru</t>
  </si>
  <si>
    <t>Пермский край</t>
  </si>
  <si>
    <t>2303123453</t>
  </si>
  <si>
    <t>Строительные материалы</t>
  </si>
  <si>
    <t>350000, г. Краснодар, ул. Северная, д. 324</t>
  </si>
  <si>
    <t>Демченко Ирина Алексеевна</t>
  </si>
  <si>
    <t>+7 (861) 000-20-06</t>
  </si>
  <si>
    <t>zakaz@strmat-demo.ru</t>
  </si>
  <si>
    <t>Краснодарский край</t>
  </si>
  <si>
    <t>Договоры</t>
  </si>
  <si>
    <t>Договоры по выигранным закупкам. Номер процедуры выбирается из реестра — так договор привязан к закупке. Заказчик и поставщик — только из справочников.</t>
  </si>
  <si>
    <t>Красным подсвечивается заказчик, если он не совпал с заказчиком этой же закупки в реестре, и просроченный срок исполнения по незакрытому договору.</t>
  </si>
  <si>
    <t>Предмет договора</t>
  </si>
  <si>
    <t>Срок исполнения</t>
  </si>
  <si>
    <t>Комментарий</t>
  </si>
  <si>
    <t>Поставка партиями до 30.10.2026, оплата в течение 30 дней после приёмки.</t>
  </si>
  <si>
    <t>Справочники</t>
  </si>
  <si>
    <t>Отсюда берутся все выпадающие списки реестра. Значения можно дополнять — списки подхватят их сами.</t>
  </si>
  <si>
    <t>Курс ЦБ USD/RUB</t>
  </si>
  <si>
    <t>на 29.08.2026, обновляется вручную</t>
  </si>
  <si>
    <t>Статусы</t>
  </si>
  <si>
    <t>Цвет строки</t>
  </si>
  <si>
    <t>серый</t>
  </si>
  <si>
    <t>На рассмотрении</t>
  </si>
  <si>
    <t>Не участвуем</t>
  </si>
  <si>
    <t>красный</t>
  </si>
  <si>
    <t>синий</t>
  </si>
  <si>
    <t>Переговоры</t>
  </si>
  <si>
    <t>жёлтый</t>
  </si>
  <si>
    <t>Работа комиссии</t>
  </si>
  <si>
    <t>Договор</t>
  </si>
  <si>
    <t>зелёный</t>
  </si>
  <si>
    <t>Отменена заказчиком</t>
  </si>
  <si>
    <t>Договор исполняется</t>
  </si>
  <si>
    <t>Исполнен/закрыт</t>
  </si>
  <si>
    <t>Площадки</t>
  </si>
  <si>
    <t>Валюты</t>
  </si>
  <si>
    <t>Отозвана</t>
  </si>
  <si>
    <t>Низкий</t>
  </si>
  <si>
    <t>Причины отказа, проигрыша и отмены</t>
  </si>
  <si>
    <t>Нет опыта по предмету закупки</t>
  </si>
  <si>
    <t>Причины отказа от участия</t>
  </si>
  <si>
    <t>Не проходим по квалификационным требованиям</t>
  </si>
  <si>
    <t>Слишком короткий срок подачи</t>
  </si>
  <si>
    <t>Цена работает в минус</t>
  </si>
  <si>
    <t>Нет ресурсов на исполнение</t>
  </si>
  <si>
    <t>Слишком большое обеспечение заявки</t>
  </si>
  <si>
    <t>Неприемлемые условия договора</t>
  </si>
  <si>
    <t>Причины проигрыша и отмены</t>
  </si>
  <si>
    <t>Отклонена по формальным причинам</t>
  </si>
  <si>
    <t>Не уложились в срок подачи</t>
  </si>
  <si>
    <t>Не прошли по техническим требованиям</t>
  </si>
  <si>
    <t>Не прошли квалификационные требования</t>
  </si>
  <si>
    <t>Заказчик отменил закупку</t>
  </si>
  <si>
    <t>Закупка признана несостоявшейся</t>
  </si>
  <si>
    <t>Не начато</t>
  </si>
  <si>
    <t>Исполнен</t>
  </si>
  <si>
    <t>Оплачен</t>
  </si>
  <si>
    <t>Закрыт</t>
  </si>
  <si>
    <t>Этапы</t>
  </si>
  <si>
    <t>Сотрудники</t>
  </si>
  <si>
    <t>заготовки по ролям — замените на фамилии</t>
  </si>
  <si>
    <t>Именованные диапазоны</t>
  </si>
  <si>
    <t>Списки тянутся с листов по имени и растут вместе с ними.</t>
  </si>
  <si>
    <t>Имя</t>
  </si>
  <si>
    <t>Что в нём</t>
  </si>
  <si>
    <t>Заказчики_Названия</t>
  </si>
  <si>
    <t>названия заказчиков с листа «Заказчики»</t>
  </si>
  <si>
    <t>Поставщики_Названия</t>
  </si>
  <si>
    <t>названия поставщиков с листа «Поставщики»</t>
  </si>
  <si>
    <t>Реестр_Процедуры</t>
  </si>
  <si>
    <t>номера закупок с листа «Реестр» — связь договора с реестром</t>
  </si>
  <si>
    <t>Причины</t>
  </si>
  <si>
    <t>все причины: отказа, проигрыша и отмены</t>
  </si>
  <si>
    <t>Причины_Отказа</t>
  </si>
  <si>
    <t>причины отказа от участия</t>
  </si>
  <si>
    <t>Причины_Проигрыша</t>
  </si>
  <si>
    <t>причины проигрыша и отмены</t>
  </si>
  <si>
    <t>Сотрудники_Список</t>
  </si>
  <si>
    <t>сотрудники</t>
  </si>
  <si>
    <t>Курс_ЦБ</t>
  </si>
  <si>
    <t>ячейка «Курс ЦБ USD/RUB»</t>
  </si>
  <si>
    <t>Дашборд</t>
  </si>
  <si>
    <t>Считается сам по листу «Реестр». Руками здесь ничего не заполняется: изменили статус или сумму в реестре — цифры пересчитались.</t>
  </si>
  <si>
    <t>Воронка по этапам</t>
  </si>
  <si>
    <t>этап определяется статусом закупки</t>
  </si>
  <si>
    <t>Количество закупок</t>
  </si>
  <si>
    <t>Сумма НМЦ</t>
  </si>
  <si>
    <t>Статус не выбран</t>
  </si>
  <si>
    <t>Всего закупок в реестре</t>
  </si>
  <si>
    <t>Результаты</t>
  </si>
  <si>
    <t>закупка считается выигранной и по результату, и по договорному статусу</t>
  </si>
  <si>
    <t>Показатель</t>
  </si>
  <si>
    <t>Количество</t>
  </si>
  <si>
    <t>Сумма договоров</t>
  </si>
  <si>
    <t>Всего закупок с результатом</t>
  </si>
  <si>
    <t>% побед</t>
  </si>
  <si>
    <t>выигранные от числа закупок, у которых есть результат</t>
  </si>
  <si>
    <t>Суммы по статусам</t>
  </si>
  <si>
    <t>сумма НМЦ и сумма заключённых договоров в разрезе статуса</t>
  </si>
  <si>
    <t>Итого</t>
  </si>
  <si>
    <t>Все цифры — формулы по листу «Реестр» (200 строк). Лист защищён от правки, чтобы формулу нельзя было случайно затереть: снимается без пароля через «Рецензирование» → «Снять защиту листа».</t>
  </si>
  <si>
    <t>Инструкция по заполнению</t>
  </si>
  <si>
    <t>Кто и на каком этапе заполняет каждую колонку реестра. Ниже таблицы — обязательные поля, курс ЦБ USD/RUB и то, что считается само.</t>
  </si>
  <si>
    <t>Блок</t>
  </si>
  <si>
    <t>Колонка реестра</t>
  </si>
  <si>
    <t>Кто заполняет</t>
  </si>
  <si>
    <t>На каком этапе</t>
  </si>
  <si>
    <t>Что писать</t>
  </si>
  <si>
    <t>Считается само</t>
  </si>
  <si>
    <t>Номер появляется сам, как только в строке заполнен номер процедуры. Руками не пишем.</t>
  </si>
  <si>
    <t/>
  </si>
  <si>
    <t>Где нашли закупку: Bidzaar или B2B-центр. Выбор из списка.</t>
  </si>
  <si>
    <t>Номер закупки так, как он написан на площадке. По нему договор связывается с закупкой, поэтому номер должен быть точным и не повторяться.</t>
  </si>
  <si>
    <t>Только выбор из списка. Названия берутся с листа «Заказчики» — вписать своё нельзя. Нужного заказчика нет — сначала добавьте его строкой на лист «Заказчики», и он сразу появится в списке.</t>
  </si>
  <si>
    <t>Коротко, что закупают, — как в извещении. Одной строкой, без копирования всего описания.</t>
  </si>
  <si>
    <t>Начальная максимальная цена закупки из извещения, в рублях. Только число, без слова «руб.».</t>
  </si>
  <si>
    <t>Крайний срок подачи заявки по извещению. Если до срока осталось меньше трёх дней, ячейка сама становится красной — это сигнал, что заявку пора подавать.</t>
  </si>
  <si>
    <t>На всех этапах</t>
  </si>
  <si>
    <t>Главное поле реестра. Меняем по мере движения закупки: Новая → На рассмотрении → Взята в работу → Готовится заявка → Заявка подана → Переторжка или Работа комиссии → Выиграна или Проиграна → Договор заключён. От статуса красится вся строка и считается дашборд.</t>
  </si>
  <si>
    <t>Насколько закупка важна для компании: Высокий, Средний или Низкий. По приоритету видно, за что браться в первую очередь.</t>
  </si>
  <si>
    <t>Адрес страницы закупки на площадке, чтобы открыть её в один щелчок.</t>
  </si>
  <si>
    <t>Кто нашёл закупку и следит за её сроками. Выбор из списка сотрудников.</t>
  </si>
  <si>
    <t>На каком шаге коммерческое предложение поставщика: Не требуется, Запрошено, Готовится, Согласовано, Отправлено.</t>
  </si>
  <si>
    <t>В чём поставщик дал цену: Рубли или Доллары. От этого зависит пересчёт цены — смотрите раздел о курсе ниже.</t>
  </si>
  <si>
    <t>Цена поставщика в той валюте, что выбрана в соседней колонке. Только число.</t>
  </si>
  <si>
    <t>Выбраны рубли — сюда попадает та же цена. Выбраны доллары — цена умножается на «Курс ЦБ USD/RUB» с листа «Справочники». Править эту колонку не нужно.</t>
  </si>
  <si>
    <t>Только выбор из списка. Названия берутся с листа «Поставщики» — вписать своё нельзя. Нужного поставщика нет — сначала добавьте его на лист «Поставщики».</t>
  </si>
  <si>
    <t>Кто собирает документы и подаёт заявку. Выбор из списка сотрудников.</t>
  </si>
  <si>
    <t>Нужно или Не нужно — по документации закупки.</t>
  </si>
  <si>
    <t>Сумма в рублях. Обязательна, если рядом выбрано «Нужно»: без неё ячейку не сохранить.</t>
  </si>
  <si>
    <t>Подготовка заявки и далее</t>
  </si>
  <si>
    <t>Где сейчас деньги: Не требуется, Заявка на оплату, Внесено, Возвращено. После итогов не забывайте ставить «Возвращено» — так видно незакрытые суммы.</t>
  </si>
  <si>
    <t>Адрес папки, где лежат документы по этой закупке.</t>
  </si>
  <si>
    <t>Не подана, Готовится, Подана или Отозвана.</t>
  </si>
  <si>
    <t>День, когда заявка ушла на площадку.</t>
  </si>
  <si>
    <t>Адрес поданной заявки на площадке. Обязательна, если статус подачи — «Подана».</t>
  </si>
  <si>
    <t>День переторжки. Обязательна, если статус — «Переторжка»: без даты ячейку не сохранить.</t>
  </si>
  <si>
    <t>Наша цена, с которой мы вышли на переторжку.</t>
  </si>
  <si>
    <t>Наша цена после снижения. Если не снижали — оставьте пусто.</t>
  </si>
  <si>
    <t>Насколько снизили цену на переторжке. Считается из двух соседних колонок.</t>
  </si>
  <si>
    <t>Кто решил идти на переторжку и на какую цену снижаться.</t>
  </si>
  <si>
    <t>День, когда площадка объявила результат.</t>
  </si>
  <si>
    <t>Выиграна, Проиграна или Отменена заказчиком. Отсюда дашборд считает долю побед.</t>
  </si>
  <si>
    <t>Мониторинг или подведение итогов</t>
  </si>
  <si>
    <t>Одна колонка на два случая. Отказались участвовать — выберите причину отказа. Проиграли или заказчик отменил закупку — причину проигрыша. Список на листе «Справочники».</t>
  </si>
  <si>
    <t>Номер заключённого договора. Тот же номер заводим строкой на листе «Договоры».</t>
  </si>
  <si>
    <t>Дата подписания договора.</t>
  </si>
  <si>
    <t>Сумма договора в рублях. Обычно равна нашей цене после переторжки.</t>
  </si>
  <si>
    <t>Не начато, Исполняется, Исполнен, Оплачен, Закрыт.</t>
  </si>
  <si>
    <t>День, когда заказчик оплатил. Пока не оплатили — оставляем пусто.</t>
  </si>
  <si>
    <t>Этап (скрыта)</t>
  </si>
  <si>
    <t>—</t>
  </si>
  <si>
    <t>Скрытая колонка. Определяется по статусу, из неё дашборд строит воронку. Не трогаем.</t>
  </si>
  <si>
    <t>Итог для дашборда (скрыта)</t>
  </si>
  <si>
    <t>Скрытая колонка. Сводит статус и результат в одно значение для дашборда. Не трогаем.</t>
  </si>
  <si>
    <t>С чего начать новому сотруднику</t>
  </si>
  <si>
    <t>1. Нашли закупку на площадке — заведите строку в реестре: площадка, номер, заказчик, предмет, начальная цена и крайний срок подачи. Статус — «Новая».</t>
  </si>
  <si>
    <t>2. Заказчика и поставщика выбираем только из выпадающего списка. Вписать название руками нельзя — файл не даст. Если организации в списке нет, добавьте её на лист «Заказчики» или «Поставщики»: она сразу появится в списке реестра.</t>
  </si>
  <si>
    <t>3. Дальше двигайте закупку только сменой статуса. Строка сама перекрашивается: серая — ещё думаем, синяя — работаем, жёлтая — ждём итогов, зелёная — выиграли, красная — не участвуем или проиграли.</t>
  </si>
  <si>
    <t>4. Ничего не считайте на калькуляторе: номер по порядку, цена в рублях, процент снижения и весь дашборд считаются сами.</t>
  </si>
  <si>
    <t>5. Демонстрационные строки помечены словом «ДЕМО». Когда начнёте вести свои закупки — выделите строки с 3-й по 9-ю и удалите их целиком.</t>
  </si>
  <si>
    <t>Обязательные поля: без них строку не сохранить</t>
  </si>
  <si>
    <t>Файл сам не даст оставить пустым то, без чего закупку потом не разобрать. Если появилось окно с красным значком — прочитайте текст, там написано, чего не хватает.</t>
  </si>
  <si>
    <t>• Сумма обеспечения — обязательна, когда в колонке «Обеспечение заявки» выбрано «Нужно».</t>
  </si>
  <si>
    <t>• Ссылка на заявку — обязательна, когда статус подачи «Подана».</t>
  </si>
  <si>
    <t>• Дата переторжки — обязательна при статусе «Переторжка».</t>
  </si>
  <si>
    <t>• Причина — обязательна при статусе «Не участвуем», «Проиграна» и «Отменена заказчиком». Выбирается из справочника причин, свой текст вписать нельзя.</t>
  </si>
  <si>
    <t>• Заказчик и поставщик — всегда только выбор из справочника, на любом этапе.</t>
  </si>
  <si>
    <t>Курс ЦБ USD/RUB и пересчёт цены КП</t>
  </si>
  <si>
    <t>Курс лежит в одной жёлтой ячейке на листе «Справочники» — это единственное место, где он хранится. Сам он не обновляется: файл не ходит в интернет.</t>
  </si>
  <si>
    <t>Как обновить: откройте лист «Справочники», найдите строку «Курс ЦБ USD/RUB», впишите в жёлтую ячейку новое значение с сайта Банка России (cbr.ru, раздел «Курсы валют») и рядом поправьте дату. Всё остальное пересчитается само.</t>
  </si>
  <si>
    <t>Зачем он нужен: когда в строке реестра выбрана валюта «Доллары», колонка «Цена КП в рублях» показывает цену поставщика, умноженную на этот курс. Если выбраны «Рубли», курс не применяется — в колонку попадает та же сумма.</t>
  </si>
  <si>
    <t>Отсюда правило: обновляйте курс в день, когда считаете цену для заявки в долларах. Обновили курс — рублёвые цены во всех строках с долларами пересчитаются сразу, включая закрытые закупки прошлых месяцев. Чтобы старая цена не «поехала», по завершённым закупкам держите сумму договора в рублях — она хранится числом.</t>
  </si>
  <si>
    <t>Что считается само и править это не нужно</t>
  </si>
  <si>
    <t>• Номер по порядку в реестре.</t>
  </si>
  <si>
    <t>• «Цена КП в рублях» — по валюте и курсу.</t>
  </si>
  <si>
    <t>• «% снижения» — по ценам до и после переторжки.</t>
  </si>
  <si>
    <t>• Две скрытые служебные колонки «Этап» и «Итог для дашборда».</t>
  </si>
  <si>
    <t>• Весь лист «Дашборд»: количество закупок по этапам, доля побед, суммы начальных цен и договоров. Лист закрыт от правки, чтобы формулы нельзя было случайно стереть; снять защиту можно без пароля через «Рецензирование» → «Снять защиту листа».</t>
  </si>
  <si>
    <t>Связь с листами «Договоры», «Заказчики» и «Поставщики»</t>
  </si>
  <si>
    <t>Выиграли закупку — заведите договор на листе «Договоры». Номер процедуры там выбирается из списка номеров реестра, поэтому договор всегда привязан к закупке.</t>
  </si>
  <si>
    <t>Если заказчик в договоре не совпадёт с заказчиком той же закупки в реестре, ячейка станет красной — значит, где-то ошиблись.</t>
  </si>
  <si>
    <t>Просроченный срок исполнения по незакрытому договору тоже подсвечивается красным.</t>
  </si>
  <si>
    <t>Листы «Заказчики» и «Поставщики» — единственный способ завести организацию в файл. Заполняйте там хотя бы ИНН и название: название и есть то, что видно в списках реестра.</t>
  </si>
  <si>
    <t>Важно: новые организации вписывайте подряд, сразу под последней записью, не оставляя пустых строк. Список реестра тянется до последней заполненной строки — запись через пропуск в него не попадёт.</t>
  </si>
  <si>
    <t>Курс на листе «Справочники» проставлен по данным Банка России (cbr.ru) на 29.08.2026. Дальше вы обновляете его сами.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</si>
</sst>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₽&quot;"/>
    <numFmt numFmtId="165" formatCode="dd.mm.yyyy"/>
    <numFmt numFmtId="166" formatCode="0.0%"/>
    <numFmt numFmtId="167" formatCode="# ##0.0000"/>
  </numFmts>
  <fonts count="12" x14ac:knownFonts="1">
    <font>
      <color theme="1"/>
      <family val="2"/>
      <scheme val="minor"/>
      <sz val="11"/>
      <name val="Calibri"/>
    </font>
    <font>
      <b/>
      <color rgb="FF1F2937"/>
      <sz val="11"/>
      <name val="Calibri"/>
    </font>
    <font>
      <b/>
      <color rgb="FF1F2937"/>
      <sz val="10"/>
      <name val="Calibri"/>
    </font>
    <font>
      <color rgb="FF1F2937"/>
      <sz val="10"/>
      <name val="Calibri"/>
    </font>
    <font>
      <b/>
      <color rgb="FF1F2937"/>
      <sz val="14"/>
      <name val="Calibri"/>
    </font>
    <font>
      <i/>
      <color rgb="FF6B7280"/>
      <sz val="10"/>
      <name val="Calibri"/>
    </font>
    <font>
      <b/>
      <sz val="11"/>
      <name val="Calibri"/>
    </font>
    <font>
      <b/>
      <sz val="10"/>
      <name val="Calibri"/>
    </font>
    <font>
      <sz val="10"/>
      <name val="Calibri"/>
    </font>
    <font>
      <b/>
      <color rgb="FF6B7280"/>
      <sz val="10"/>
      <name val="Calibri"/>
    </font>
    <font>
      <b/>
      <color rgb="FF1F2937"/>
      <sz val="12"/>
      <name val="Calibri"/>
    </font>
    <font>
      <i/>
      <color rgb="FF6B7280"/>
      <sz val="9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CE9FB"/>
      </patternFill>
    </fill>
    <fill>
      <patternFill patternType="solid">
        <fgColor rgb="FFDFF0DC"/>
      </patternFill>
    </fill>
    <fill>
      <patternFill patternType="solid">
        <fgColor rgb="FFFDF1CE"/>
      </patternFill>
    </fill>
    <fill>
      <patternFill patternType="solid">
        <fgColor rgb="FFF6DDDC"/>
      </patternFill>
    </fill>
    <fill>
      <patternFill patternType="solid">
        <fgColor rgb="FFE8E8E8"/>
      </patternFill>
    </fill>
    <fill>
      <patternFill patternType="solid">
        <fgColor rgb="FFF3F5F9"/>
      </patternFill>
    </fill>
    <fill>
      <patternFill patternType="solid">
        <fgColor rgb="FFFFF4CE"/>
      </patternFill>
    </fill>
    <fill>
      <patternFill patternType="solid">
        <fgColor rgb="FFEDEEF0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9CFDA"/>
      </left>
      <right style="thin">
        <color rgb="FFC9CFDA"/>
      </right>
      <top style="thin">
        <color rgb="FFC9CFDA"/>
      </top>
      <bottom style="thin">
        <color rgb="FFC9CFDA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2" fillId="7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1" fillId="0" borderId="0" xfId="0" applyFont="1"/>
    <xf numFmtId="167" fontId="6" fillId="8" borderId="1" xfId="0" applyNumberFormat="1" applyFont="1" applyFill="1" applyBorder="1"/>
    <xf numFmtId="0" fontId="7" fillId="7" borderId="1" xfId="0" applyFont="1" applyFill="1" applyBorder="1"/>
    <xf numFmtId="0" fontId="8" fillId="0" borderId="1" xfId="0" applyFont="1" applyBorder="1"/>
    <xf numFmtId="0" fontId="1" fillId="7" borderId="1" xfId="0" applyFont="1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7" borderId="1" xfId="0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2" fillId="7" borderId="1" xfId="0" applyFont="1" applyFill="1" applyBorder="1" applyAlignment="1">
      <alignment vertical="center"/>
    </xf>
    <xf numFmtId="3" fontId="2" fillId="7" borderId="1" xfId="0" applyNumberFormat="1" applyFont="1" applyFill="1" applyBorder="1" applyAlignment="1">
      <alignment horizontal="right" vertical="center"/>
    </xf>
    <xf numFmtId="164" fontId="2" fillId="7" borderId="1" xfId="0" applyNumberFormat="1" applyFont="1" applyFill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0" fontId="3" fillId="9" borderId="1" xfId="0" applyFont="1" applyFill="1" applyBorder="1" applyAlignment="1">
      <alignment vertical="center"/>
    </xf>
    <xf numFmtId="3" fontId="3" fillId="9" borderId="1" xfId="0" applyNumberFormat="1" applyFont="1" applyFill="1" applyBorder="1" applyAlignment="1">
      <alignment horizontal="right" vertical="center"/>
    </xf>
    <xf numFmtId="164" fontId="3" fillId="9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/>
    </xf>
    <xf numFmtId="3" fontId="3" fillId="5" borderId="1" xfId="0" applyNumberFormat="1" applyFont="1" applyFill="1" applyBorder="1" applyAlignment="1">
      <alignment horizontal="right" vertical="center"/>
    </xf>
    <xf numFmtId="164" fontId="3" fillId="5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vertical="top" wrapText="1"/>
    </xf>
    <xf numFmtId="0" fontId="5" fillId="1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14">
    <dxf>
      <font>
        <b/>
        <color rgb="FF9C0006"/>
      </font>
      <fill>
        <patternFill patternType="solid">
          <fgColor rgb="FFFF9E9E"/>
          <bgColor rgb="FFFF9E9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EDEEF0"/>
          <bgColor rgb="FFEDEEF0"/>
        </patternFill>
      </fill>
    </dxf>
    <dxf>
      <fill>
        <patternFill patternType="solid">
          <fgColor rgb="FFF6DDDC"/>
          <bgColor rgb="FFF6DDDC"/>
        </patternFill>
      </fill>
    </dxf>
    <dxf>
      <fill>
        <patternFill patternType="solid">
          <fgColor rgb="FFDCE9FB"/>
          <bgColor rgb="FFDCE9FB"/>
        </patternFill>
      </fill>
    </dxf>
    <dxf>
      <fill>
        <patternFill patternType="solid">
          <fgColor rgb="FFFDF1CE"/>
          <bgColor rgb="FFFDF1CE"/>
        </patternFill>
      </fill>
    </dxf>
    <dxf>
      <fill>
        <patternFill patternType="solid">
          <fgColor rgb="FFDFF0DC"/>
          <bgColor rgb="FFDFF0DC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2"/>
  <sheetViews>
    <sheetView workbookViewId="0">
      <pane xSplit="5" ySplit="2" topLeftCell="F3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4" customWidth="1"/>
    <col min="3" max="3" width="16" customWidth="1"/>
    <col min="4" max="4" width="30" customWidth="1"/>
    <col min="5" max="5" width="38" customWidth="1"/>
    <col min="6" max="6" width="15" customWidth="1"/>
    <col min="7" max="7" width="16" customWidth="1"/>
    <col min="8" max="8" width="22" customWidth="1"/>
    <col min="9" max="9" width="12" customWidth="1"/>
    <col min="10" max="10" width="22" customWidth="1"/>
    <col min="11" max="11" width="18" customWidth="1"/>
    <col min="12" max="12" width="16" customWidth="1"/>
    <col min="13" max="13" width="11" customWidth="1"/>
    <col min="14" max="15" width="16" customWidth="1"/>
    <col min="16" max="16" width="28" customWidth="1"/>
    <col min="17" max="17" width="18" customWidth="1"/>
    <col min="18" max="19" width="15" customWidth="1"/>
    <col min="20" max="20" width="16" customWidth="1"/>
    <col min="21" max="21" width="24" customWidth="1"/>
    <col min="22" max="22" width="15" customWidth="1"/>
    <col min="23" max="23" width="16" customWidth="1"/>
    <col min="24" max="24" width="22" customWidth="1"/>
    <col min="25" max="25" width="15" customWidth="1"/>
    <col min="26" max="27" width="16" customWidth="1"/>
    <col min="28" max="28" width="12" customWidth="1"/>
    <col min="29" max="29" width="22" customWidth="1"/>
    <col min="30" max="30" width="16" customWidth="1"/>
    <col min="31" max="31" width="18" customWidth="1"/>
    <col min="32" max="32" width="30" customWidth="1"/>
    <col min="33" max="33" width="16" customWidth="1"/>
    <col min="34" max="34" width="14" customWidth="1"/>
    <col min="35" max="35" width="16" customWidth="1"/>
    <col min="36" max="36" width="18" customWidth="1"/>
    <col min="37" max="37" width="14" customWidth="1"/>
    <col min="38" max="39" width="20" hidden="1" customWidth="1"/>
  </cols>
  <sheetData>
    <row r="1" ht="22" customHeight="1" spans="1:3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3" t="s">
        <v>2</v>
      </c>
      <c r="W1" s="3"/>
      <c r="X1" s="3"/>
      <c r="Y1" s="4" t="s">
        <v>3</v>
      </c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5" t="s">
        <v>4</v>
      </c>
      <c r="AM1" s="5"/>
    </row>
    <row r="2" ht="32" customHeight="1" spans="1:39" x14ac:dyDescent="0.2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6" t="s">
        <v>23</v>
      </c>
      <c r="T2" s="6" t="s">
        <v>24</v>
      </c>
      <c r="U2" s="6" t="s">
        <v>25</v>
      </c>
      <c r="V2" s="6" t="s">
        <v>26</v>
      </c>
      <c r="W2" s="6" t="s">
        <v>27</v>
      </c>
      <c r="X2" s="6" t="s">
        <v>28</v>
      </c>
      <c r="Y2" s="6" t="s">
        <v>29</v>
      </c>
      <c r="Z2" s="6" t="s">
        <v>30</v>
      </c>
      <c r="AA2" s="6" t="s">
        <v>31</v>
      </c>
      <c r="AB2" s="6" t="s">
        <v>32</v>
      </c>
      <c r="AC2" s="6" t="s">
        <v>33</v>
      </c>
      <c r="AD2" s="6" t="s">
        <v>34</v>
      </c>
      <c r="AE2" s="6" t="s">
        <v>35</v>
      </c>
      <c r="AF2" s="6" t="s">
        <v>36</v>
      </c>
      <c r="AG2" s="6" t="s">
        <v>37</v>
      </c>
      <c r="AH2" s="6" t="s">
        <v>38</v>
      </c>
      <c r="AI2" s="6" t="s">
        <v>39</v>
      </c>
      <c r="AJ2" s="6" t="s">
        <v>40</v>
      </c>
      <c r="AK2" s="6" t="s">
        <v>41</v>
      </c>
      <c r="AL2" s="6" t="s">
        <v>42</v>
      </c>
      <c r="AM2" s="6" t="s">
        <v>43</v>
      </c>
    </row>
    <row r="3" ht="18" customHeight="1" spans="1:39" x14ac:dyDescent="0.25">
      <c r="A3" s="7">
        <f>IF(COUNTA($B3:$K3)=0,"",COUNT($A$2:A2)+1)</f>
      </c>
      <c r="B3" s="8" t="s">
        <v>44</v>
      </c>
      <c r="C3" s="8" t="s">
        <v>45</v>
      </c>
      <c r="D3" s="8" t="s">
        <v>46</v>
      </c>
      <c r="E3" s="9" t="s">
        <v>47</v>
      </c>
      <c r="F3" s="10">
        <v>1250000</v>
      </c>
      <c r="G3" s="11">
        <v>46283</v>
      </c>
      <c r="H3" s="8" t="s">
        <v>48</v>
      </c>
      <c r="I3" s="8" t="s">
        <v>49</v>
      </c>
      <c r="J3" s="8" t="s">
        <v>50</v>
      </c>
      <c r="K3" s="8" t="s">
        <v>51</v>
      </c>
      <c r="L3" s="8"/>
      <c r="M3" s="8"/>
      <c r="N3" s="12"/>
      <c r="O3" s="10">
        <f>IF($N3="","",IF($M3="Доллары",$N3*Справочники!$B$4,$N3))</f>
      </c>
      <c r="P3" s="8"/>
      <c r="Q3" s="8"/>
      <c r="R3" s="8"/>
      <c r="S3" s="10"/>
      <c r="T3" s="8"/>
      <c r="U3" s="8"/>
      <c r="V3" s="8"/>
      <c r="W3" s="11"/>
      <c r="X3" s="8"/>
      <c r="Y3" s="11"/>
      <c r="Z3" s="10"/>
      <c r="AA3" s="10"/>
      <c r="AB3" s="13">
        <f>IF(OR($Z3="",$AA3="",$Z3=0),"",($Z3-$AA3)/$Z3)</f>
      </c>
      <c r="AC3" s="8"/>
      <c r="AD3" s="11"/>
      <c r="AE3" s="8"/>
      <c r="AF3" s="8"/>
      <c r="AG3" s="8"/>
      <c r="AH3" s="11"/>
      <c r="AI3" s="10"/>
      <c r="AJ3" s="8"/>
      <c r="AK3" s="11"/>
      <c r="AL3" s="8">
        <f>IF($H3="","",IFERROR(VLOOKUP($H3,Справочники!$A$8:$B$22,2,0),""))</f>
      </c>
      <c r="AM3" s="8">
        <f>IF($AE3&lt;&gt;"",$AE3,IF(OR($H3="Выиграна",$H3="Договор заключён",$H3="Договор исполняется",$H3="Исполнен/закрыт"),"Выиграна",IF($H3="Проиграна","Проиграна",IF($H3="Отменена заказчиком","Отменена заказчиком",""))))</f>
      </c>
    </row>
    <row r="4" ht="18" customHeight="1" spans="1:39" x14ac:dyDescent="0.25">
      <c r="A4" s="7">
        <f>IF(COUNTA($B4:$K4)=0,"",COUNT($A$2:A3)+1)</f>
      </c>
      <c r="B4" s="8" t="s">
        <v>52</v>
      </c>
      <c r="C4" s="8" t="s">
        <v>53</v>
      </c>
      <c r="D4" s="8" t="s">
        <v>54</v>
      </c>
      <c r="E4" s="9" t="s">
        <v>55</v>
      </c>
      <c r="F4" s="10">
        <v>5600000</v>
      </c>
      <c r="G4" s="11">
        <v>46265</v>
      </c>
      <c r="H4" s="8" t="s">
        <v>56</v>
      </c>
      <c r="I4" s="8" t="s">
        <v>57</v>
      </c>
      <c r="J4" s="8" t="s">
        <v>58</v>
      </c>
      <c r="K4" s="8" t="s">
        <v>51</v>
      </c>
      <c r="L4" s="8" t="s">
        <v>59</v>
      </c>
      <c r="M4" s="8" t="s">
        <v>60</v>
      </c>
      <c r="N4" s="12"/>
      <c r="O4" s="10">
        <f>IF($N4="","",IF($M4="Доллары",$N4*Справочники!$B$4,$N4))</f>
      </c>
      <c r="P4" s="8" t="s">
        <v>61</v>
      </c>
      <c r="Q4" s="8" t="s">
        <v>51</v>
      </c>
      <c r="R4" s="8" t="s">
        <v>62</v>
      </c>
      <c r="S4" s="10"/>
      <c r="T4" s="8" t="s">
        <v>63</v>
      </c>
      <c r="U4" s="8"/>
      <c r="V4" s="8" t="s">
        <v>64</v>
      </c>
      <c r="W4" s="11"/>
      <c r="X4" s="8"/>
      <c r="Y4" s="11"/>
      <c r="Z4" s="10"/>
      <c r="AA4" s="10"/>
      <c r="AB4" s="13">
        <f>IF(OR($Z4="",$AA4="",$Z4=0),"",($Z4-$AA4)/$Z4)</f>
      </c>
      <c r="AC4" s="8"/>
      <c r="AD4" s="11"/>
      <c r="AE4" s="8"/>
      <c r="AF4" s="8"/>
      <c r="AG4" s="8"/>
      <c r="AH4" s="11"/>
      <c r="AI4" s="10"/>
      <c r="AJ4" s="8"/>
      <c r="AK4" s="11"/>
      <c r="AL4" s="8">
        <f>IF($H4="","",IFERROR(VLOOKUP($H4,Справочники!$A$8:$B$22,2,0),""))</f>
      </c>
      <c r="AM4" s="8">
        <f>IF($AE4&lt;&gt;"",$AE4,IF(OR($H4="Выиграна",$H4="Договор заключён",$H4="Договор исполняется",$H4="Исполнен/закрыт"),"Выиграна",IF($H4="Проиграна","Проиграна",IF($H4="Отменена заказчиком","Отменена заказчиком",""))))</f>
      </c>
    </row>
    <row r="5" ht="18" customHeight="1" spans="1:39" x14ac:dyDescent="0.25">
      <c r="A5" s="7">
        <f>IF(COUNTA($B5:$K5)=0,"",COUNT($A$2:A4)+1)</f>
      </c>
      <c r="B5" s="8" t="s">
        <v>44</v>
      </c>
      <c r="C5" s="8" t="s">
        <v>65</v>
      </c>
      <c r="D5" s="8" t="s">
        <v>66</v>
      </c>
      <c r="E5" s="9" t="s">
        <v>67</v>
      </c>
      <c r="F5" s="10">
        <v>2150000</v>
      </c>
      <c r="G5" s="11">
        <v>46276</v>
      </c>
      <c r="H5" s="8" t="s">
        <v>68</v>
      </c>
      <c r="I5" s="8" t="s">
        <v>49</v>
      </c>
      <c r="J5" s="8" t="s">
        <v>69</v>
      </c>
      <c r="K5" s="8" t="s">
        <v>70</v>
      </c>
      <c r="L5" s="8" t="s">
        <v>71</v>
      </c>
      <c r="M5" s="8" t="s">
        <v>72</v>
      </c>
      <c r="N5" s="12">
        <v>22500</v>
      </c>
      <c r="O5" s="10">
        <f>IF($N5="","",IF($M5="Доллары",$N5*Справочники!$B$4,$N5))</f>
      </c>
      <c r="P5" s="8" t="s">
        <v>73</v>
      </c>
      <c r="Q5" s="8" t="s">
        <v>51</v>
      </c>
      <c r="R5" s="8" t="s">
        <v>74</v>
      </c>
      <c r="S5" s="10">
        <v>107500</v>
      </c>
      <c r="T5" s="8" t="s">
        <v>75</v>
      </c>
      <c r="U5" s="8" t="s">
        <v>76</v>
      </c>
      <c r="V5" s="8" t="s">
        <v>77</v>
      </c>
      <c r="W5" s="11"/>
      <c r="X5" s="8"/>
      <c r="Y5" s="11"/>
      <c r="Z5" s="10"/>
      <c r="AA5" s="10"/>
      <c r="AB5" s="13">
        <f>IF(OR($Z5="",$AA5="",$Z5=0),"",($Z5-$AA5)/$Z5)</f>
      </c>
      <c r="AC5" s="8"/>
      <c r="AD5" s="11"/>
      <c r="AE5" s="8"/>
      <c r="AF5" s="8"/>
      <c r="AG5" s="8"/>
      <c r="AH5" s="11"/>
      <c r="AI5" s="10"/>
      <c r="AJ5" s="8"/>
      <c r="AK5" s="11"/>
      <c r="AL5" s="8">
        <f>IF($H5="","",IFERROR(VLOOKUP($H5,Справочники!$A$8:$B$22,2,0),""))</f>
      </c>
      <c r="AM5" s="8">
        <f>IF($AE5&lt;&gt;"",$AE5,IF(OR($H5="Выиграна",$H5="Договор заключён",$H5="Договор исполняется",$H5="Исполнен/закрыт"),"Выиграна",IF($H5="Проиграна","Проиграна",IF($H5="Отменена заказчиком","Отменена заказчиком",""))))</f>
      </c>
    </row>
    <row r="6" ht="18" customHeight="1" spans="1:39" x14ac:dyDescent="0.25">
      <c r="A6" s="7">
        <f>IF(COUNTA($B6:$K6)=0,"",COUNT($A$2:A5)+1)</f>
      </c>
      <c r="B6" s="8" t="s">
        <v>52</v>
      </c>
      <c r="C6" s="8" t="s">
        <v>78</v>
      </c>
      <c r="D6" s="8" t="s">
        <v>79</v>
      </c>
      <c r="E6" s="9" t="s">
        <v>80</v>
      </c>
      <c r="F6" s="10">
        <v>4780000</v>
      </c>
      <c r="G6" s="11">
        <v>46267</v>
      </c>
      <c r="H6" s="8" t="s">
        <v>81</v>
      </c>
      <c r="I6" s="8" t="s">
        <v>57</v>
      </c>
      <c r="J6" s="8" t="s">
        <v>82</v>
      </c>
      <c r="K6" s="8" t="s">
        <v>51</v>
      </c>
      <c r="L6" s="8" t="s">
        <v>83</v>
      </c>
      <c r="M6" s="8" t="s">
        <v>60</v>
      </c>
      <c r="N6" s="12">
        <v>4520000</v>
      </c>
      <c r="O6" s="10">
        <f>IF($N6="","",IF($M6="Доллары",$N6*Справочники!$B$4,$N6))</f>
      </c>
      <c r="P6" s="8" t="s">
        <v>84</v>
      </c>
      <c r="Q6" s="8" t="s">
        <v>51</v>
      </c>
      <c r="R6" s="8" t="s">
        <v>74</v>
      </c>
      <c r="S6" s="10">
        <v>239000</v>
      </c>
      <c r="T6" s="8" t="s">
        <v>85</v>
      </c>
      <c r="U6" s="8" t="s">
        <v>86</v>
      </c>
      <c r="V6" s="8" t="s">
        <v>87</v>
      </c>
      <c r="W6" s="11">
        <v>46261</v>
      </c>
      <c r="X6" s="8" t="s">
        <v>88</v>
      </c>
      <c r="Y6" s="11"/>
      <c r="Z6" s="10"/>
      <c r="AA6" s="10"/>
      <c r="AB6" s="13">
        <f>IF(OR($Z6="",$AA6="",$Z6=0),"",($Z6-$AA6)/$Z6)</f>
      </c>
      <c r="AC6" s="8"/>
      <c r="AD6" s="11"/>
      <c r="AE6" s="8"/>
      <c r="AF6" s="8"/>
      <c r="AG6" s="8"/>
      <c r="AH6" s="11"/>
      <c r="AI6" s="10"/>
      <c r="AJ6" s="8"/>
      <c r="AK6" s="11"/>
      <c r="AL6" s="8">
        <f>IF($H6="","",IFERROR(VLOOKUP($H6,Справочники!$A$8:$B$22,2,0),""))</f>
      </c>
      <c r="AM6" s="8">
        <f>IF($AE6&lt;&gt;"",$AE6,IF(OR($H6="Выиграна",$H6="Договор заключён",$H6="Договор исполняется",$H6="Исполнен/закрыт"),"Выиграна",IF($H6="Проиграна","Проиграна",IF($H6="Отменена заказчиком","Отменена заказчиком",""))))</f>
      </c>
    </row>
    <row r="7" ht="18" customHeight="1" spans="1:39" x14ac:dyDescent="0.25">
      <c r="A7" s="7">
        <f>IF(COUNTA($B7:$K7)=0,"",COUNT($A$2:A6)+1)</f>
      </c>
      <c r="B7" s="8" t="s">
        <v>44</v>
      </c>
      <c r="C7" s="8" t="s">
        <v>89</v>
      </c>
      <c r="D7" s="8" t="s">
        <v>46</v>
      </c>
      <c r="E7" s="9" t="s">
        <v>90</v>
      </c>
      <c r="F7" s="10">
        <v>7300000</v>
      </c>
      <c r="G7" s="11">
        <v>46248</v>
      </c>
      <c r="H7" s="8" t="s">
        <v>91</v>
      </c>
      <c r="I7" s="8" t="s">
        <v>57</v>
      </c>
      <c r="J7" s="8" t="s">
        <v>92</v>
      </c>
      <c r="K7" s="8" t="s">
        <v>51</v>
      </c>
      <c r="L7" s="8" t="s">
        <v>83</v>
      </c>
      <c r="M7" s="8" t="s">
        <v>60</v>
      </c>
      <c r="N7" s="12">
        <v>6900000</v>
      </c>
      <c r="O7" s="10">
        <f>IF($N7="","",IF($M7="Доллары",$N7*Справочники!$B$4,$N7))</f>
      </c>
      <c r="P7" s="8" t="s">
        <v>93</v>
      </c>
      <c r="Q7" s="8" t="s">
        <v>51</v>
      </c>
      <c r="R7" s="8" t="s">
        <v>74</v>
      </c>
      <c r="S7" s="10">
        <v>365000</v>
      </c>
      <c r="T7" s="8" t="s">
        <v>85</v>
      </c>
      <c r="U7" s="8" t="s">
        <v>94</v>
      </c>
      <c r="V7" s="8" t="s">
        <v>87</v>
      </c>
      <c r="W7" s="11">
        <v>46246</v>
      </c>
      <c r="X7" s="8" t="s">
        <v>95</v>
      </c>
      <c r="Y7" s="11">
        <v>46266</v>
      </c>
      <c r="Z7" s="10">
        <v>6900000</v>
      </c>
      <c r="AA7" s="10">
        <v>6555000</v>
      </c>
      <c r="AB7" s="13">
        <f>IF(OR($Z7="",$AA7="",$Z7=0),"",($Z7-$AA7)/$Z7)</f>
      </c>
      <c r="AC7" s="8" t="s">
        <v>96</v>
      </c>
      <c r="AD7" s="11"/>
      <c r="AE7" s="8"/>
      <c r="AF7" s="8"/>
      <c r="AG7" s="8"/>
      <c r="AH7" s="11"/>
      <c r="AI7" s="10"/>
      <c r="AJ7" s="8"/>
      <c r="AK7" s="11"/>
      <c r="AL7" s="8">
        <f>IF($H7="","",IFERROR(VLOOKUP($H7,Справочники!$A$8:$B$22,2,0),""))</f>
      </c>
      <c r="AM7" s="8">
        <f>IF($AE7&lt;&gt;"",$AE7,IF(OR($H7="Выиграна",$H7="Договор заключён",$H7="Договор исполняется",$H7="Исполнен/закрыт"),"Выиграна",IF($H7="Проиграна","Проиграна",IF($H7="Отменена заказчиком","Отменена заказчиком",""))))</f>
      </c>
    </row>
    <row r="8" ht="18" customHeight="1" spans="1:39" x14ac:dyDescent="0.25">
      <c r="A8" s="7">
        <f>IF(COUNTA($B8:$K8)=0,"",COUNT($A$2:A7)+1)</f>
      </c>
      <c r="B8" s="8" t="s">
        <v>44</v>
      </c>
      <c r="C8" s="8" t="s">
        <v>97</v>
      </c>
      <c r="D8" s="8" t="s">
        <v>54</v>
      </c>
      <c r="E8" s="9" t="s">
        <v>98</v>
      </c>
      <c r="F8" s="10">
        <v>3050000</v>
      </c>
      <c r="G8" s="11">
        <v>46240</v>
      </c>
      <c r="H8" s="8" t="s">
        <v>99</v>
      </c>
      <c r="I8" s="8" t="s">
        <v>49</v>
      </c>
      <c r="J8" s="8" t="s">
        <v>100</v>
      </c>
      <c r="K8" s="8" t="s">
        <v>51</v>
      </c>
      <c r="L8" s="8" t="s">
        <v>83</v>
      </c>
      <c r="M8" s="8" t="s">
        <v>60</v>
      </c>
      <c r="N8" s="12">
        <v>2980000</v>
      </c>
      <c r="O8" s="10">
        <f>IF($N8="","",IF($M8="Доллары",$N8*Справочники!$B$4,$N8))</f>
      </c>
      <c r="P8" s="8" t="s">
        <v>101</v>
      </c>
      <c r="Q8" s="8" t="s">
        <v>51</v>
      </c>
      <c r="R8" s="8" t="s">
        <v>62</v>
      </c>
      <c r="S8" s="10"/>
      <c r="T8" s="8" t="s">
        <v>63</v>
      </c>
      <c r="U8" s="8" t="s">
        <v>102</v>
      </c>
      <c r="V8" s="8" t="s">
        <v>87</v>
      </c>
      <c r="W8" s="11">
        <v>46239</v>
      </c>
      <c r="X8" s="8" t="s">
        <v>103</v>
      </c>
      <c r="Y8" s="11"/>
      <c r="Z8" s="10"/>
      <c r="AA8" s="10"/>
      <c r="AB8" s="13">
        <f>IF(OR($Z8="",$AA8="",$Z8=0),"",($Z8-$AA8)/$Z8)</f>
      </c>
      <c r="AC8" s="8"/>
      <c r="AD8" s="11">
        <v>46254</v>
      </c>
      <c r="AE8" s="8" t="s">
        <v>99</v>
      </c>
      <c r="AF8" s="8" t="s">
        <v>104</v>
      </c>
      <c r="AG8" s="8"/>
      <c r="AH8" s="11"/>
      <c r="AI8" s="10"/>
      <c r="AJ8" s="8"/>
      <c r="AK8" s="11"/>
      <c r="AL8" s="8">
        <f>IF($H8="","",IFERROR(VLOOKUP($H8,Справочники!$A$8:$B$22,2,0),""))</f>
      </c>
      <c r="AM8" s="8">
        <f>IF($AE8&lt;&gt;"",$AE8,IF(OR($H8="Выиграна",$H8="Договор заключён",$H8="Договор исполняется",$H8="Исполнен/закрыт"),"Выиграна",IF($H8="Проиграна","Проиграна",IF($H8="Отменена заказчиком","Отменена заказчиком",""))))</f>
      </c>
    </row>
    <row r="9" ht="18" customHeight="1" spans="1:39" x14ac:dyDescent="0.25">
      <c r="A9" s="7">
        <f>IF(COUNTA($B9:$K9)=0,"",COUNT($A$2:A8)+1)</f>
      </c>
      <c r="B9" s="8" t="s">
        <v>44</v>
      </c>
      <c r="C9" s="8" t="s">
        <v>105</v>
      </c>
      <c r="D9" s="8" t="s">
        <v>79</v>
      </c>
      <c r="E9" s="9" t="s">
        <v>106</v>
      </c>
      <c r="F9" s="10">
        <v>6700000</v>
      </c>
      <c r="G9" s="11">
        <v>46227</v>
      </c>
      <c r="H9" s="8" t="s">
        <v>107</v>
      </c>
      <c r="I9" s="8" t="s">
        <v>57</v>
      </c>
      <c r="J9" s="8" t="s">
        <v>108</v>
      </c>
      <c r="K9" s="8" t="s">
        <v>51</v>
      </c>
      <c r="L9" s="8" t="s">
        <v>83</v>
      </c>
      <c r="M9" s="8" t="s">
        <v>60</v>
      </c>
      <c r="N9" s="12">
        <v>6150000</v>
      </c>
      <c r="O9" s="10">
        <f>IF($N9="","",IF($M9="Доллары",$N9*Справочники!$B$4,$N9))</f>
      </c>
      <c r="P9" s="8" t="s">
        <v>93</v>
      </c>
      <c r="Q9" s="8" t="s">
        <v>51</v>
      </c>
      <c r="R9" s="8" t="s">
        <v>74</v>
      </c>
      <c r="S9" s="10">
        <v>335000</v>
      </c>
      <c r="T9" s="8" t="s">
        <v>109</v>
      </c>
      <c r="U9" s="8" t="s">
        <v>110</v>
      </c>
      <c r="V9" s="8" t="s">
        <v>87</v>
      </c>
      <c r="W9" s="11">
        <v>46225</v>
      </c>
      <c r="X9" s="8" t="s">
        <v>111</v>
      </c>
      <c r="Y9" s="11">
        <v>46237</v>
      </c>
      <c r="Z9" s="10">
        <v>6150000</v>
      </c>
      <c r="AA9" s="10">
        <v>5950000</v>
      </c>
      <c r="AB9" s="13">
        <f>IF(OR($Z9="",$AA9="",$Z9=0),"",($Z9-$AA9)/$Z9)</f>
      </c>
      <c r="AC9" s="8" t="s">
        <v>96</v>
      </c>
      <c r="AD9" s="11">
        <v>46241</v>
      </c>
      <c r="AE9" s="8" t="s">
        <v>112</v>
      </c>
      <c r="AF9" s="8"/>
      <c r="AG9" s="8" t="s">
        <v>113</v>
      </c>
      <c r="AH9" s="11">
        <v>46255</v>
      </c>
      <c r="AI9" s="10">
        <v>5950000</v>
      </c>
      <c r="AJ9" s="8" t="s">
        <v>114</v>
      </c>
      <c r="AK9" s="11"/>
      <c r="AL9" s="8">
        <f>IF($H9="","",IFERROR(VLOOKUP($H9,Справочники!$A$8:$B$22,2,0),""))</f>
      </c>
      <c r="AM9" s="8">
        <f>IF($AE9&lt;&gt;"",$AE9,IF(OR($H9="Выиграна",$H9="Договор заключён",$H9="Договор исполняется",$H9="Исполнен/закрыт"),"Выиграна",IF($H9="Проиграна","Проиграна",IF($H9="Отменена заказчиком","Отменена заказчиком",""))))</f>
      </c>
    </row>
    <row r="10" ht="18" customHeight="1" spans="1:39" x14ac:dyDescent="0.25">
      <c r="A10" s="7">
        <f>IF(COUNTA($B10:$K10)=0,"",COUNT($A$2:A9)+1)</f>
      </c>
      <c r="B10" s="8"/>
      <c r="C10" s="8"/>
      <c r="D10" s="8"/>
      <c r="E10" s="9"/>
      <c r="F10" s="10"/>
      <c r="G10" s="11"/>
      <c r="H10" s="8"/>
      <c r="I10" s="8"/>
      <c r="J10" s="8"/>
      <c r="K10" s="8"/>
      <c r="L10" s="8"/>
      <c r="M10" s="8"/>
      <c r="N10" s="12"/>
      <c r="O10" s="10">
        <f>IF($N10="","",IF($M10="Доллары",$N10*Справочники!$B$4,$N10))</f>
      </c>
      <c r="P10" s="8"/>
      <c r="Q10" s="8"/>
      <c r="R10" s="8"/>
      <c r="S10" s="10"/>
      <c r="T10" s="8"/>
      <c r="U10" s="8"/>
      <c r="V10" s="8"/>
      <c r="W10" s="11"/>
      <c r="X10" s="8"/>
      <c r="Y10" s="11"/>
      <c r="Z10" s="10"/>
      <c r="AA10" s="10"/>
      <c r="AB10" s="13">
        <f>IF(OR($Z10="",$AA10="",$Z10=0),"",($Z10-$AA10)/$Z10)</f>
      </c>
      <c r="AC10" s="8"/>
      <c r="AD10" s="11"/>
      <c r="AE10" s="8"/>
      <c r="AF10" s="8"/>
      <c r="AG10" s="8"/>
      <c r="AH10" s="11"/>
      <c r="AI10" s="10"/>
      <c r="AJ10" s="8"/>
      <c r="AK10" s="11"/>
      <c r="AL10" s="8">
        <f>IF($H10="","",IFERROR(VLOOKUP($H10,Справочники!$A$8:$B$22,2,0),""))</f>
      </c>
      <c r="AM10" s="8">
        <f>IF($AE10&lt;&gt;"",$AE10,IF(OR($H10="Выиграна",$H10="Договор заключён",$H10="Договор исполняется",$H10="Исполнен/закрыт"),"Выиграна",IF($H10="Проиграна","Проиграна",IF($H10="Отменена заказчиком","Отменена заказчиком",""))))</f>
      </c>
    </row>
    <row r="11" ht="18" customHeight="1" spans="1:39" x14ac:dyDescent="0.25">
      <c r="A11" s="7">
        <f>IF(COUNTA($B11:$K11)=0,"",COUNT($A$2:A10)+1)</f>
      </c>
      <c r="B11" s="8"/>
      <c r="C11" s="8"/>
      <c r="D11" s="8"/>
      <c r="E11" s="9"/>
      <c r="F11" s="10"/>
      <c r="G11" s="11"/>
      <c r="H11" s="8"/>
      <c r="I11" s="8"/>
      <c r="J11" s="8"/>
      <c r="K11" s="8"/>
      <c r="L11" s="8"/>
      <c r="M11" s="8"/>
      <c r="N11" s="12"/>
      <c r="O11" s="10">
        <f>IF($N11="","",IF($M11="Доллары",$N11*Справочники!$B$4,$N11))</f>
      </c>
      <c r="P11" s="8"/>
      <c r="Q11" s="8"/>
      <c r="R11" s="8"/>
      <c r="S11" s="10"/>
      <c r="T11" s="8"/>
      <c r="U11" s="8"/>
      <c r="V11" s="8"/>
      <c r="W11" s="11"/>
      <c r="X11" s="8"/>
      <c r="Y11" s="11"/>
      <c r="Z11" s="10"/>
      <c r="AA11" s="10"/>
      <c r="AB11" s="13">
        <f>IF(OR($Z11="",$AA11="",$Z11=0),"",($Z11-$AA11)/$Z11)</f>
      </c>
      <c r="AC11" s="8"/>
      <c r="AD11" s="11"/>
      <c r="AE11" s="8"/>
      <c r="AF11" s="8"/>
      <c r="AG11" s="8"/>
      <c r="AH11" s="11"/>
      <c r="AI11" s="10"/>
      <c r="AJ11" s="8"/>
      <c r="AK11" s="11"/>
      <c r="AL11" s="8">
        <f>IF($H11="","",IFERROR(VLOOKUP($H11,Справочники!$A$8:$B$22,2,0),""))</f>
      </c>
      <c r="AM11" s="8">
        <f>IF($AE11&lt;&gt;"",$AE11,IF(OR($H11="Выиграна",$H11="Договор заключён",$H11="Договор исполняется",$H11="Исполнен/закрыт"),"Выиграна",IF($H11="Проиграна","Проиграна",IF($H11="Отменена заказчиком","Отменена заказчиком",""))))</f>
      </c>
    </row>
    <row r="12" ht="18" customHeight="1" spans="1:39" x14ac:dyDescent="0.25">
      <c r="A12" s="7">
        <f>IF(COUNTA($B12:$K12)=0,"",COUNT($A$2:A11)+1)</f>
      </c>
      <c r="B12" s="8"/>
      <c r="C12" s="8"/>
      <c r="D12" s="8"/>
      <c r="E12" s="9"/>
      <c r="F12" s="10"/>
      <c r="G12" s="11"/>
      <c r="H12" s="8"/>
      <c r="I12" s="8"/>
      <c r="J12" s="8"/>
      <c r="K12" s="8"/>
      <c r="L12" s="8"/>
      <c r="M12" s="8"/>
      <c r="N12" s="12"/>
      <c r="O12" s="10">
        <f>IF($N12="","",IF($M12="Доллары",$N12*Справочники!$B$4,$N12))</f>
      </c>
      <c r="P12" s="8"/>
      <c r="Q12" s="8"/>
      <c r="R12" s="8"/>
      <c r="S12" s="10"/>
      <c r="T12" s="8"/>
      <c r="U12" s="8"/>
      <c r="V12" s="8"/>
      <c r="W12" s="11"/>
      <c r="X12" s="8"/>
      <c r="Y12" s="11"/>
      <c r="Z12" s="10"/>
      <c r="AA12" s="10"/>
      <c r="AB12" s="13">
        <f>IF(OR($Z12="",$AA12="",$Z12=0),"",($Z12-$AA12)/$Z12)</f>
      </c>
      <c r="AC12" s="8"/>
      <c r="AD12" s="11"/>
      <c r="AE12" s="8"/>
      <c r="AF12" s="8"/>
      <c r="AG12" s="8"/>
      <c r="AH12" s="11"/>
      <c r="AI12" s="10"/>
      <c r="AJ12" s="8"/>
      <c r="AK12" s="11"/>
      <c r="AL12" s="8">
        <f>IF($H12="","",IFERROR(VLOOKUP($H12,Справочники!$A$8:$B$22,2,0),""))</f>
      </c>
      <c r="AM12" s="8">
        <f>IF($AE12&lt;&gt;"",$AE12,IF(OR($H12="Выиграна",$H12="Договор заключён",$H12="Договор исполняется",$H12="Исполнен/закрыт"),"Выиграна",IF($H12="Проиграна","Проиграна",IF($H12="Отменена заказчиком","Отменена заказчиком",""))))</f>
      </c>
    </row>
    <row r="13" ht="18" customHeight="1" spans="1:39" x14ac:dyDescent="0.25">
      <c r="A13" s="7">
        <f>IF(COUNTA($B13:$K13)=0,"",COUNT($A$2:A12)+1)</f>
      </c>
      <c r="B13" s="8"/>
      <c r="C13" s="8"/>
      <c r="D13" s="8"/>
      <c r="E13" s="9"/>
      <c r="F13" s="10"/>
      <c r="G13" s="11"/>
      <c r="H13" s="8"/>
      <c r="I13" s="8"/>
      <c r="J13" s="8"/>
      <c r="K13" s="8"/>
      <c r="L13" s="8"/>
      <c r="M13" s="8"/>
      <c r="N13" s="12"/>
      <c r="O13" s="10">
        <f>IF($N13="","",IF($M13="Доллары",$N13*Справочники!$B$4,$N13))</f>
      </c>
      <c r="P13" s="8"/>
      <c r="Q13" s="8"/>
      <c r="R13" s="8"/>
      <c r="S13" s="10"/>
      <c r="T13" s="8"/>
      <c r="U13" s="8"/>
      <c r="V13" s="8"/>
      <c r="W13" s="11"/>
      <c r="X13" s="8"/>
      <c r="Y13" s="11"/>
      <c r="Z13" s="10"/>
      <c r="AA13" s="10"/>
      <c r="AB13" s="13">
        <f>IF(OR($Z13="",$AA13="",$Z13=0),"",($Z13-$AA13)/$Z13)</f>
      </c>
      <c r="AC13" s="8"/>
      <c r="AD13" s="11"/>
      <c r="AE13" s="8"/>
      <c r="AF13" s="8"/>
      <c r="AG13" s="8"/>
      <c r="AH13" s="11"/>
      <c r="AI13" s="10"/>
      <c r="AJ13" s="8"/>
      <c r="AK13" s="11"/>
      <c r="AL13" s="8">
        <f>IF($H13="","",IFERROR(VLOOKUP($H13,Справочники!$A$8:$B$22,2,0),""))</f>
      </c>
      <c r="AM13" s="8">
        <f>IF($AE13&lt;&gt;"",$AE13,IF(OR($H13="Выиграна",$H13="Договор заключён",$H13="Договор исполняется",$H13="Исполнен/закрыт"),"Выиграна",IF($H13="Проиграна","Проиграна",IF($H13="Отменена заказчиком","Отменена заказчиком",""))))</f>
      </c>
    </row>
    <row r="14" ht="18" customHeight="1" spans="1:39" x14ac:dyDescent="0.25">
      <c r="A14" s="7">
        <f>IF(COUNTA($B14:$K14)=0,"",COUNT($A$2:A13)+1)</f>
      </c>
      <c r="B14" s="8"/>
      <c r="C14" s="8"/>
      <c r="D14" s="8"/>
      <c r="E14" s="9"/>
      <c r="F14" s="10"/>
      <c r="G14" s="11"/>
      <c r="H14" s="8"/>
      <c r="I14" s="8"/>
      <c r="J14" s="8"/>
      <c r="K14" s="8"/>
      <c r="L14" s="8"/>
      <c r="M14" s="8"/>
      <c r="N14" s="12"/>
      <c r="O14" s="10">
        <f>IF($N14="","",IF($M14="Доллары",$N14*Справочники!$B$4,$N14))</f>
      </c>
      <c r="P14" s="8"/>
      <c r="Q14" s="8"/>
      <c r="R14" s="8"/>
      <c r="S14" s="10"/>
      <c r="T14" s="8"/>
      <c r="U14" s="8"/>
      <c r="V14" s="8"/>
      <c r="W14" s="11"/>
      <c r="X14" s="8"/>
      <c r="Y14" s="11"/>
      <c r="Z14" s="10"/>
      <c r="AA14" s="10"/>
      <c r="AB14" s="13">
        <f>IF(OR($Z14="",$AA14="",$Z14=0),"",($Z14-$AA14)/$Z14)</f>
      </c>
      <c r="AC14" s="8"/>
      <c r="AD14" s="11"/>
      <c r="AE14" s="8"/>
      <c r="AF14" s="8"/>
      <c r="AG14" s="8"/>
      <c r="AH14" s="11"/>
      <c r="AI14" s="10"/>
      <c r="AJ14" s="8"/>
      <c r="AK14" s="11"/>
      <c r="AL14" s="8">
        <f>IF($H14="","",IFERROR(VLOOKUP($H14,Справочники!$A$8:$B$22,2,0),""))</f>
      </c>
      <c r="AM14" s="8">
        <f>IF($AE14&lt;&gt;"",$AE14,IF(OR($H14="Выиграна",$H14="Договор заключён",$H14="Договор исполняется",$H14="Исполнен/закрыт"),"Выиграна",IF($H14="Проиграна","Проиграна",IF($H14="Отменена заказчиком","Отменена заказчиком",""))))</f>
      </c>
    </row>
    <row r="15" ht="18" customHeight="1" spans="1:39" x14ac:dyDescent="0.25">
      <c r="A15" s="7">
        <f>IF(COUNTA($B15:$K15)=0,"",COUNT($A$2:A14)+1)</f>
      </c>
      <c r="B15" s="8"/>
      <c r="C15" s="8"/>
      <c r="D15" s="8"/>
      <c r="E15" s="9"/>
      <c r="F15" s="10"/>
      <c r="G15" s="11"/>
      <c r="H15" s="8"/>
      <c r="I15" s="8"/>
      <c r="J15" s="8"/>
      <c r="K15" s="8"/>
      <c r="L15" s="8"/>
      <c r="M15" s="8"/>
      <c r="N15" s="12"/>
      <c r="O15" s="10">
        <f>IF($N15="","",IF($M15="Доллары",$N15*Справочники!$B$4,$N15))</f>
      </c>
      <c r="P15" s="8"/>
      <c r="Q15" s="8"/>
      <c r="R15" s="8"/>
      <c r="S15" s="10"/>
      <c r="T15" s="8"/>
      <c r="U15" s="8"/>
      <c r="V15" s="8"/>
      <c r="W15" s="11"/>
      <c r="X15" s="8"/>
      <c r="Y15" s="11"/>
      <c r="Z15" s="10"/>
      <c r="AA15" s="10"/>
      <c r="AB15" s="13">
        <f>IF(OR($Z15="",$AA15="",$Z15=0),"",($Z15-$AA15)/$Z15)</f>
      </c>
      <c r="AC15" s="8"/>
      <c r="AD15" s="11"/>
      <c r="AE15" s="8"/>
      <c r="AF15" s="8"/>
      <c r="AG15" s="8"/>
      <c r="AH15" s="11"/>
      <c r="AI15" s="10"/>
      <c r="AJ15" s="8"/>
      <c r="AK15" s="11"/>
      <c r="AL15" s="8">
        <f>IF($H15="","",IFERROR(VLOOKUP($H15,Справочники!$A$8:$B$22,2,0),""))</f>
      </c>
      <c r="AM15" s="8">
        <f>IF($AE15&lt;&gt;"",$AE15,IF(OR($H15="Выиграна",$H15="Договор заключён",$H15="Договор исполняется",$H15="Исполнен/закрыт"),"Выиграна",IF($H15="Проиграна","Проиграна",IF($H15="Отменена заказчиком","Отменена заказчиком",""))))</f>
      </c>
    </row>
    <row r="16" ht="18" customHeight="1" spans="1:39" x14ac:dyDescent="0.25">
      <c r="A16" s="7">
        <f>IF(COUNTA($B16:$K16)=0,"",COUNT($A$2:A15)+1)</f>
      </c>
      <c r="B16" s="8"/>
      <c r="C16" s="8"/>
      <c r="D16" s="8"/>
      <c r="E16" s="9"/>
      <c r="F16" s="10"/>
      <c r="G16" s="11"/>
      <c r="H16" s="8"/>
      <c r="I16" s="8"/>
      <c r="J16" s="8"/>
      <c r="K16" s="8"/>
      <c r="L16" s="8"/>
      <c r="M16" s="8"/>
      <c r="N16" s="12"/>
      <c r="O16" s="10">
        <f>IF($N16="","",IF($M16="Доллары",$N16*Справочники!$B$4,$N16))</f>
      </c>
      <c r="P16" s="8"/>
      <c r="Q16" s="8"/>
      <c r="R16" s="8"/>
      <c r="S16" s="10"/>
      <c r="T16" s="8"/>
      <c r="U16" s="8"/>
      <c r="V16" s="8"/>
      <c r="W16" s="11"/>
      <c r="X16" s="8"/>
      <c r="Y16" s="11"/>
      <c r="Z16" s="10"/>
      <c r="AA16" s="10"/>
      <c r="AB16" s="13">
        <f>IF(OR($Z16="",$AA16="",$Z16=0),"",($Z16-$AA16)/$Z16)</f>
      </c>
      <c r="AC16" s="8"/>
      <c r="AD16" s="11"/>
      <c r="AE16" s="8"/>
      <c r="AF16" s="8"/>
      <c r="AG16" s="8"/>
      <c r="AH16" s="11"/>
      <c r="AI16" s="10"/>
      <c r="AJ16" s="8"/>
      <c r="AK16" s="11"/>
      <c r="AL16" s="8">
        <f>IF($H16="","",IFERROR(VLOOKUP($H16,Справочники!$A$8:$B$22,2,0),""))</f>
      </c>
      <c r="AM16" s="8">
        <f>IF($AE16&lt;&gt;"",$AE16,IF(OR($H16="Выиграна",$H16="Договор заключён",$H16="Договор исполняется",$H16="Исполнен/закрыт"),"Выиграна",IF($H16="Проиграна","Проиграна",IF($H16="Отменена заказчиком","Отменена заказчиком",""))))</f>
      </c>
    </row>
    <row r="17" ht="18" customHeight="1" spans="1:39" x14ac:dyDescent="0.25">
      <c r="A17" s="7">
        <f>IF(COUNTA($B17:$K17)=0,"",COUNT($A$2:A16)+1)</f>
      </c>
      <c r="B17" s="8"/>
      <c r="C17" s="8"/>
      <c r="D17" s="8"/>
      <c r="E17" s="9"/>
      <c r="F17" s="10"/>
      <c r="G17" s="11"/>
      <c r="H17" s="8"/>
      <c r="I17" s="8"/>
      <c r="J17" s="8"/>
      <c r="K17" s="8"/>
      <c r="L17" s="8"/>
      <c r="M17" s="8"/>
      <c r="N17" s="12"/>
      <c r="O17" s="10">
        <f>IF($N17="","",IF($M17="Доллары",$N17*Справочники!$B$4,$N17))</f>
      </c>
      <c r="P17" s="8"/>
      <c r="Q17" s="8"/>
      <c r="R17" s="8"/>
      <c r="S17" s="10"/>
      <c r="T17" s="8"/>
      <c r="U17" s="8"/>
      <c r="V17" s="8"/>
      <c r="W17" s="11"/>
      <c r="X17" s="8"/>
      <c r="Y17" s="11"/>
      <c r="Z17" s="10"/>
      <c r="AA17" s="10"/>
      <c r="AB17" s="13">
        <f>IF(OR($Z17="",$AA17="",$Z17=0),"",($Z17-$AA17)/$Z17)</f>
      </c>
      <c r="AC17" s="8"/>
      <c r="AD17" s="11"/>
      <c r="AE17" s="8"/>
      <c r="AF17" s="8"/>
      <c r="AG17" s="8"/>
      <c r="AH17" s="11"/>
      <c r="AI17" s="10"/>
      <c r="AJ17" s="8"/>
      <c r="AK17" s="11"/>
      <c r="AL17" s="8">
        <f>IF($H17="","",IFERROR(VLOOKUP($H17,Справочники!$A$8:$B$22,2,0),""))</f>
      </c>
      <c r="AM17" s="8">
        <f>IF($AE17&lt;&gt;"",$AE17,IF(OR($H17="Выиграна",$H17="Договор заключён",$H17="Договор исполняется",$H17="Исполнен/закрыт"),"Выиграна",IF($H17="Проиграна","Проиграна",IF($H17="Отменена заказчиком","Отменена заказчиком",""))))</f>
      </c>
    </row>
    <row r="18" ht="18" customHeight="1" spans="1:39" x14ac:dyDescent="0.25">
      <c r="A18" s="7">
        <f>IF(COUNTA($B18:$K18)=0,"",COUNT($A$2:A17)+1)</f>
      </c>
      <c r="B18" s="8"/>
      <c r="C18" s="8"/>
      <c r="D18" s="8"/>
      <c r="E18" s="9"/>
      <c r="F18" s="10"/>
      <c r="G18" s="11"/>
      <c r="H18" s="8"/>
      <c r="I18" s="8"/>
      <c r="J18" s="8"/>
      <c r="K18" s="8"/>
      <c r="L18" s="8"/>
      <c r="M18" s="8"/>
      <c r="N18" s="12"/>
      <c r="O18" s="10">
        <f>IF($N18="","",IF($M18="Доллары",$N18*Справочники!$B$4,$N18))</f>
      </c>
      <c r="P18" s="8"/>
      <c r="Q18" s="8"/>
      <c r="R18" s="8"/>
      <c r="S18" s="10"/>
      <c r="T18" s="8"/>
      <c r="U18" s="8"/>
      <c r="V18" s="8"/>
      <c r="W18" s="11"/>
      <c r="X18" s="8"/>
      <c r="Y18" s="11"/>
      <c r="Z18" s="10"/>
      <c r="AA18" s="10"/>
      <c r="AB18" s="13">
        <f>IF(OR($Z18="",$AA18="",$Z18=0),"",($Z18-$AA18)/$Z18)</f>
      </c>
      <c r="AC18" s="8"/>
      <c r="AD18" s="11"/>
      <c r="AE18" s="8"/>
      <c r="AF18" s="8"/>
      <c r="AG18" s="8"/>
      <c r="AH18" s="11"/>
      <c r="AI18" s="10"/>
      <c r="AJ18" s="8"/>
      <c r="AK18" s="11"/>
      <c r="AL18" s="8">
        <f>IF($H18="","",IFERROR(VLOOKUP($H18,Справочники!$A$8:$B$22,2,0),""))</f>
      </c>
      <c r="AM18" s="8">
        <f>IF($AE18&lt;&gt;"",$AE18,IF(OR($H18="Выиграна",$H18="Договор заключён",$H18="Договор исполняется",$H18="Исполнен/закрыт"),"Выиграна",IF($H18="Проиграна","Проиграна",IF($H18="Отменена заказчиком","Отменена заказчиком",""))))</f>
      </c>
    </row>
    <row r="19" ht="18" customHeight="1" spans="1:39" x14ac:dyDescent="0.25">
      <c r="A19" s="7">
        <f>IF(COUNTA($B19:$K19)=0,"",COUNT($A$2:A18)+1)</f>
      </c>
      <c r="B19" s="8"/>
      <c r="C19" s="8"/>
      <c r="D19" s="8"/>
      <c r="E19" s="9"/>
      <c r="F19" s="10"/>
      <c r="G19" s="11"/>
      <c r="H19" s="8"/>
      <c r="I19" s="8"/>
      <c r="J19" s="8"/>
      <c r="K19" s="8"/>
      <c r="L19" s="8"/>
      <c r="M19" s="8"/>
      <c r="N19" s="12"/>
      <c r="O19" s="10">
        <f>IF($N19="","",IF($M19="Доллары",$N19*Справочники!$B$4,$N19))</f>
      </c>
      <c r="P19" s="8"/>
      <c r="Q19" s="8"/>
      <c r="R19" s="8"/>
      <c r="S19" s="10"/>
      <c r="T19" s="8"/>
      <c r="U19" s="8"/>
      <c r="V19" s="8"/>
      <c r="W19" s="11"/>
      <c r="X19" s="8"/>
      <c r="Y19" s="11"/>
      <c r="Z19" s="10"/>
      <c r="AA19" s="10"/>
      <c r="AB19" s="13">
        <f>IF(OR($Z19="",$AA19="",$Z19=0),"",($Z19-$AA19)/$Z19)</f>
      </c>
      <c r="AC19" s="8"/>
      <c r="AD19" s="11"/>
      <c r="AE19" s="8"/>
      <c r="AF19" s="8"/>
      <c r="AG19" s="8"/>
      <c r="AH19" s="11"/>
      <c r="AI19" s="10"/>
      <c r="AJ19" s="8"/>
      <c r="AK19" s="11"/>
      <c r="AL19" s="8">
        <f>IF($H19="","",IFERROR(VLOOKUP($H19,Справочники!$A$8:$B$22,2,0),""))</f>
      </c>
      <c r="AM19" s="8">
        <f>IF($AE19&lt;&gt;"",$AE19,IF(OR($H19="Выиграна",$H19="Договор заключён",$H19="Договор исполняется",$H19="Исполнен/закрыт"),"Выиграна",IF($H19="Проиграна","Проиграна",IF($H19="Отменена заказчиком","Отменена заказчиком",""))))</f>
      </c>
    </row>
    <row r="20" ht="18" customHeight="1" spans="1:39" x14ac:dyDescent="0.25">
      <c r="A20" s="7">
        <f>IF(COUNTA($B20:$K20)=0,"",COUNT($A$2:A19)+1)</f>
      </c>
      <c r="B20" s="8"/>
      <c r="C20" s="8"/>
      <c r="D20" s="8"/>
      <c r="E20" s="9"/>
      <c r="F20" s="10"/>
      <c r="G20" s="11"/>
      <c r="H20" s="8"/>
      <c r="I20" s="8"/>
      <c r="J20" s="8"/>
      <c r="K20" s="8"/>
      <c r="L20" s="8"/>
      <c r="M20" s="8"/>
      <c r="N20" s="12"/>
      <c r="O20" s="10">
        <f>IF($N20="","",IF($M20="Доллары",$N20*Справочники!$B$4,$N20))</f>
      </c>
      <c r="P20" s="8"/>
      <c r="Q20" s="8"/>
      <c r="R20" s="8"/>
      <c r="S20" s="10"/>
      <c r="T20" s="8"/>
      <c r="U20" s="8"/>
      <c r="V20" s="8"/>
      <c r="W20" s="11"/>
      <c r="X20" s="8"/>
      <c r="Y20" s="11"/>
      <c r="Z20" s="10"/>
      <c r="AA20" s="10"/>
      <c r="AB20" s="13">
        <f>IF(OR($Z20="",$AA20="",$Z20=0),"",($Z20-$AA20)/$Z20)</f>
      </c>
      <c r="AC20" s="8"/>
      <c r="AD20" s="11"/>
      <c r="AE20" s="8"/>
      <c r="AF20" s="8"/>
      <c r="AG20" s="8"/>
      <c r="AH20" s="11"/>
      <c r="AI20" s="10"/>
      <c r="AJ20" s="8"/>
      <c r="AK20" s="11"/>
      <c r="AL20" s="8">
        <f>IF($H20="","",IFERROR(VLOOKUP($H20,Справочники!$A$8:$B$22,2,0),""))</f>
      </c>
      <c r="AM20" s="8">
        <f>IF($AE20&lt;&gt;"",$AE20,IF(OR($H20="Выиграна",$H20="Договор заключён",$H20="Договор исполняется",$H20="Исполнен/закрыт"),"Выиграна",IF($H20="Проиграна","Проиграна",IF($H20="Отменена заказчиком","Отменена заказчиком",""))))</f>
      </c>
    </row>
    <row r="21" ht="18" customHeight="1" spans="1:39" x14ac:dyDescent="0.25">
      <c r="A21" s="7">
        <f>IF(COUNTA($B21:$K21)=0,"",COUNT($A$2:A20)+1)</f>
      </c>
      <c r="B21" s="8"/>
      <c r="C21" s="8"/>
      <c r="D21" s="8"/>
      <c r="E21" s="9"/>
      <c r="F21" s="10"/>
      <c r="G21" s="11"/>
      <c r="H21" s="8"/>
      <c r="I21" s="8"/>
      <c r="J21" s="8"/>
      <c r="K21" s="8"/>
      <c r="L21" s="8"/>
      <c r="M21" s="8"/>
      <c r="N21" s="12"/>
      <c r="O21" s="10">
        <f>IF($N21="","",IF($M21="Доллары",$N21*Справочники!$B$4,$N21))</f>
      </c>
      <c r="P21" s="8"/>
      <c r="Q21" s="8"/>
      <c r="R21" s="8"/>
      <c r="S21" s="10"/>
      <c r="T21" s="8"/>
      <c r="U21" s="8"/>
      <c r="V21" s="8"/>
      <c r="W21" s="11"/>
      <c r="X21" s="8"/>
      <c r="Y21" s="11"/>
      <c r="Z21" s="10"/>
      <c r="AA21" s="10"/>
      <c r="AB21" s="13">
        <f>IF(OR($Z21="",$AA21="",$Z21=0),"",($Z21-$AA21)/$Z21)</f>
      </c>
      <c r="AC21" s="8"/>
      <c r="AD21" s="11"/>
      <c r="AE21" s="8"/>
      <c r="AF21" s="8"/>
      <c r="AG21" s="8"/>
      <c r="AH21" s="11"/>
      <c r="AI21" s="10"/>
      <c r="AJ21" s="8"/>
      <c r="AK21" s="11"/>
      <c r="AL21" s="8">
        <f>IF($H21="","",IFERROR(VLOOKUP($H21,Справочники!$A$8:$B$22,2,0),""))</f>
      </c>
      <c r="AM21" s="8">
        <f>IF($AE21&lt;&gt;"",$AE21,IF(OR($H21="Выиграна",$H21="Договор заключён",$H21="Договор исполняется",$H21="Исполнен/закрыт"),"Выиграна",IF($H21="Проиграна","Проиграна",IF($H21="Отменена заказчиком","Отменена заказчиком",""))))</f>
      </c>
    </row>
    <row r="22" ht="18" customHeight="1" spans="1:39" x14ac:dyDescent="0.25">
      <c r="A22" s="7">
        <f>IF(COUNTA($B22:$K22)=0,"",COUNT($A$2:A21)+1)</f>
      </c>
      <c r="B22" s="8"/>
      <c r="C22" s="8"/>
      <c r="D22" s="8"/>
      <c r="E22" s="9"/>
      <c r="F22" s="10"/>
      <c r="G22" s="11"/>
      <c r="H22" s="8"/>
      <c r="I22" s="8"/>
      <c r="J22" s="8"/>
      <c r="K22" s="8"/>
      <c r="L22" s="8"/>
      <c r="M22" s="8"/>
      <c r="N22" s="12"/>
      <c r="O22" s="10">
        <f>IF($N22="","",IF($M22="Доллары",$N22*Справочники!$B$4,$N22))</f>
      </c>
      <c r="P22" s="8"/>
      <c r="Q22" s="8"/>
      <c r="R22" s="8"/>
      <c r="S22" s="10"/>
      <c r="T22" s="8"/>
      <c r="U22" s="8"/>
      <c r="V22" s="8"/>
      <c r="W22" s="11"/>
      <c r="X22" s="8"/>
      <c r="Y22" s="11"/>
      <c r="Z22" s="10"/>
      <c r="AA22" s="10"/>
      <c r="AB22" s="13">
        <f>IF(OR($Z22="",$AA22="",$Z22=0),"",($Z22-$AA22)/$Z22)</f>
      </c>
      <c r="AC22" s="8"/>
      <c r="AD22" s="11"/>
      <c r="AE22" s="8"/>
      <c r="AF22" s="8"/>
      <c r="AG22" s="8"/>
      <c r="AH22" s="11"/>
      <c r="AI22" s="10"/>
      <c r="AJ22" s="8"/>
      <c r="AK22" s="11"/>
      <c r="AL22" s="8">
        <f>IF($H22="","",IFERROR(VLOOKUP($H22,Справочники!$A$8:$B$22,2,0),""))</f>
      </c>
      <c r="AM22" s="8">
        <f>IF($AE22&lt;&gt;"",$AE22,IF(OR($H22="Выиграна",$H22="Договор заключён",$H22="Договор исполняется",$H22="Исполнен/закрыт"),"Выиграна",IF($H22="Проиграна","Проиграна",IF($H22="Отменена заказчиком","Отменена заказчиком",""))))</f>
      </c>
    </row>
    <row r="23" ht="18" customHeight="1" spans="1:39" x14ac:dyDescent="0.25">
      <c r="A23" s="7">
        <f>IF(COUNTA($B23:$K23)=0,"",COUNT($A$2:A22)+1)</f>
      </c>
      <c r="B23" s="8"/>
      <c r="C23" s="8"/>
      <c r="D23" s="8"/>
      <c r="E23" s="9"/>
      <c r="F23" s="10"/>
      <c r="G23" s="11"/>
      <c r="H23" s="8"/>
      <c r="I23" s="8"/>
      <c r="J23" s="8"/>
      <c r="K23" s="8"/>
      <c r="L23" s="8"/>
      <c r="M23" s="8"/>
      <c r="N23" s="12"/>
      <c r="O23" s="10">
        <f>IF($N23="","",IF($M23="Доллары",$N23*Справочники!$B$4,$N23))</f>
      </c>
      <c r="P23" s="8"/>
      <c r="Q23" s="8"/>
      <c r="R23" s="8"/>
      <c r="S23" s="10"/>
      <c r="T23" s="8"/>
      <c r="U23" s="8"/>
      <c r="V23" s="8"/>
      <c r="W23" s="11"/>
      <c r="X23" s="8"/>
      <c r="Y23" s="11"/>
      <c r="Z23" s="10"/>
      <c r="AA23" s="10"/>
      <c r="AB23" s="13">
        <f>IF(OR($Z23="",$AA23="",$Z23=0),"",($Z23-$AA23)/$Z23)</f>
      </c>
      <c r="AC23" s="8"/>
      <c r="AD23" s="11"/>
      <c r="AE23" s="8"/>
      <c r="AF23" s="8"/>
      <c r="AG23" s="8"/>
      <c r="AH23" s="11"/>
      <c r="AI23" s="10"/>
      <c r="AJ23" s="8"/>
      <c r="AK23" s="11"/>
      <c r="AL23" s="8">
        <f>IF($H23="","",IFERROR(VLOOKUP($H23,Справочники!$A$8:$B$22,2,0),""))</f>
      </c>
      <c r="AM23" s="8">
        <f>IF($AE23&lt;&gt;"",$AE23,IF(OR($H23="Выиграна",$H23="Договор заключён",$H23="Договор исполняется",$H23="Исполнен/закрыт"),"Выиграна",IF($H23="Проиграна","Проиграна",IF($H23="Отменена заказчиком","Отменена заказчиком",""))))</f>
      </c>
    </row>
    <row r="24" ht="18" customHeight="1" spans="1:39" x14ac:dyDescent="0.25">
      <c r="A24" s="7">
        <f>IF(COUNTA($B24:$K24)=0,"",COUNT($A$2:A23)+1)</f>
      </c>
      <c r="B24" s="8"/>
      <c r="C24" s="8"/>
      <c r="D24" s="8"/>
      <c r="E24" s="9"/>
      <c r="F24" s="10"/>
      <c r="G24" s="11"/>
      <c r="H24" s="8"/>
      <c r="I24" s="8"/>
      <c r="J24" s="8"/>
      <c r="K24" s="8"/>
      <c r="L24" s="8"/>
      <c r="M24" s="8"/>
      <c r="N24" s="12"/>
      <c r="O24" s="10">
        <f>IF($N24="","",IF($M24="Доллары",$N24*Справочники!$B$4,$N24))</f>
      </c>
      <c r="P24" s="8"/>
      <c r="Q24" s="8"/>
      <c r="R24" s="8"/>
      <c r="S24" s="10"/>
      <c r="T24" s="8"/>
      <c r="U24" s="8"/>
      <c r="V24" s="8"/>
      <c r="W24" s="11"/>
      <c r="X24" s="8"/>
      <c r="Y24" s="11"/>
      <c r="Z24" s="10"/>
      <c r="AA24" s="10"/>
      <c r="AB24" s="13">
        <f>IF(OR($Z24="",$AA24="",$Z24=0),"",($Z24-$AA24)/$Z24)</f>
      </c>
      <c r="AC24" s="8"/>
      <c r="AD24" s="11"/>
      <c r="AE24" s="8"/>
      <c r="AF24" s="8"/>
      <c r="AG24" s="8"/>
      <c r="AH24" s="11"/>
      <c r="AI24" s="10"/>
      <c r="AJ24" s="8"/>
      <c r="AK24" s="11"/>
      <c r="AL24" s="8">
        <f>IF($H24="","",IFERROR(VLOOKUP($H24,Справочники!$A$8:$B$22,2,0),""))</f>
      </c>
      <c r="AM24" s="8">
        <f>IF($AE24&lt;&gt;"",$AE24,IF(OR($H24="Выиграна",$H24="Договор заключён",$H24="Договор исполняется",$H24="Исполнен/закрыт"),"Выиграна",IF($H24="Проиграна","Проиграна",IF($H24="Отменена заказчиком","Отменена заказчиком",""))))</f>
      </c>
    </row>
    <row r="25" ht="18" customHeight="1" spans="1:39" x14ac:dyDescent="0.25">
      <c r="A25" s="7">
        <f>IF(COUNTA($B25:$K25)=0,"",COUNT($A$2:A24)+1)</f>
      </c>
      <c r="B25" s="8"/>
      <c r="C25" s="8"/>
      <c r="D25" s="8"/>
      <c r="E25" s="9"/>
      <c r="F25" s="10"/>
      <c r="G25" s="11"/>
      <c r="H25" s="8"/>
      <c r="I25" s="8"/>
      <c r="J25" s="8"/>
      <c r="K25" s="8"/>
      <c r="L25" s="8"/>
      <c r="M25" s="8"/>
      <c r="N25" s="12"/>
      <c r="O25" s="10">
        <f>IF($N25="","",IF($M25="Доллары",$N25*Справочники!$B$4,$N25))</f>
      </c>
      <c r="P25" s="8"/>
      <c r="Q25" s="8"/>
      <c r="R25" s="8"/>
      <c r="S25" s="10"/>
      <c r="T25" s="8"/>
      <c r="U25" s="8"/>
      <c r="V25" s="8"/>
      <c r="W25" s="11"/>
      <c r="X25" s="8"/>
      <c r="Y25" s="11"/>
      <c r="Z25" s="10"/>
      <c r="AA25" s="10"/>
      <c r="AB25" s="13">
        <f>IF(OR($Z25="",$AA25="",$Z25=0),"",($Z25-$AA25)/$Z25)</f>
      </c>
      <c r="AC25" s="8"/>
      <c r="AD25" s="11"/>
      <c r="AE25" s="8"/>
      <c r="AF25" s="8"/>
      <c r="AG25" s="8"/>
      <c r="AH25" s="11"/>
      <c r="AI25" s="10"/>
      <c r="AJ25" s="8"/>
      <c r="AK25" s="11"/>
      <c r="AL25" s="8">
        <f>IF($H25="","",IFERROR(VLOOKUP($H25,Справочники!$A$8:$B$22,2,0),""))</f>
      </c>
      <c r="AM25" s="8">
        <f>IF($AE25&lt;&gt;"",$AE25,IF(OR($H25="Выиграна",$H25="Договор заключён",$H25="Договор исполняется",$H25="Исполнен/закрыт"),"Выиграна",IF($H25="Проиграна","Проиграна",IF($H25="Отменена заказчиком","Отменена заказчиком",""))))</f>
      </c>
    </row>
    <row r="26" ht="18" customHeight="1" spans="1:39" x14ac:dyDescent="0.25">
      <c r="A26" s="7">
        <f>IF(COUNTA($B26:$K26)=0,"",COUNT($A$2:A25)+1)</f>
      </c>
      <c r="B26" s="8"/>
      <c r="C26" s="8"/>
      <c r="D26" s="8"/>
      <c r="E26" s="9"/>
      <c r="F26" s="10"/>
      <c r="G26" s="11"/>
      <c r="H26" s="8"/>
      <c r="I26" s="8"/>
      <c r="J26" s="8"/>
      <c r="K26" s="8"/>
      <c r="L26" s="8"/>
      <c r="M26" s="8"/>
      <c r="N26" s="12"/>
      <c r="O26" s="10">
        <f>IF($N26="","",IF($M26="Доллары",$N26*Справочники!$B$4,$N26))</f>
      </c>
      <c r="P26" s="8"/>
      <c r="Q26" s="8"/>
      <c r="R26" s="8"/>
      <c r="S26" s="10"/>
      <c r="T26" s="8"/>
      <c r="U26" s="8"/>
      <c r="V26" s="8"/>
      <c r="W26" s="11"/>
      <c r="X26" s="8"/>
      <c r="Y26" s="11"/>
      <c r="Z26" s="10"/>
      <c r="AA26" s="10"/>
      <c r="AB26" s="13">
        <f>IF(OR($Z26="",$AA26="",$Z26=0),"",($Z26-$AA26)/$Z26)</f>
      </c>
      <c r="AC26" s="8"/>
      <c r="AD26" s="11"/>
      <c r="AE26" s="8"/>
      <c r="AF26" s="8"/>
      <c r="AG26" s="8"/>
      <c r="AH26" s="11"/>
      <c r="AI26" s="10"/>
      <c r="AJ26" s="8"/>
      <c r="AK26" s="11"/>
      <c r="AL26" s="8">
        <f>IF($H26="","",IFERROR(VLOOKUP($H26,Справочники!$A$8:$B$22,2,0),""))</f>
      </c>
      <c r="AM26" s="8">
        <f>IF($AE26&lt;&gt;"",$AE26,IF(OR($H26="Выиграна",$H26="Договор заключён",$H26="Договор исполняется",$H26="Исполнен/закрыт"),"Выиграна",IF($H26="Проиграна","Проиграна",IF($H26="Отменена заказчиком","Отменена заказчиком",""))))</f>
      </c>
    </row>
    <row r="27" ht="18" customHeight="1" spans="1:39" x14ac:dyDescent="0.25">
      <c r="A27" s="7">
        <f>IF(COUNTA($B27:$K27)=0,"",COUNT($A$2:A26)+1)</f>
      </c>
      <c r="B27" s="8"/>
      <c r="C27" s="8"/>
      <c r="D27" s="8"/>
      <c r="E27" s="9"/>
      <c r="F27" s="10"/>
      <c r="G27" s="11"/>
      <c r="H27" s="8"/>
      <c r="I27" s="8"/>
      <c r="J27" s="8"/>
      <c r="K27" s="8"/>
      <c r="L27" s="8"/>
      <c r="M27" s="8"/>
      <c r="N27" s="12"/>
      <c r="O27" s="10">
        <f>IF($N27="","",IF($M27="Доллары",$N27*Справочники!$B$4,$N27))</f>
      </c>
      <c r="P27" s="8"/>
      <c r="Q27" s="8"/>
      <c r="R27" s="8"/>
      <c r="S27" s="10"/>
      <c r="T27" s="8"/>
      <c r="U27" s="8"/>
      <c r="V27" s="8"/>
      <c r="W27" s="11"/>
      <c r="X27" s="8"/>
      <c r="Y27" s="11"/>
      <c r="Z27" s="10"/>
      <c r="AA27" s="10"/>
      <c r="AB27" s="13">
        <f>IF(OR($Z27="",$AA27="",$Z27=0),"",($Z27-$AA27)/$Z27)</f>
      </c>
      <c r="AC27" s="8"/>
      <c r="AD27" s="11"/>
      <c r="AE27" s="8"/>
      <c r="AF27" s="8"/>
      <c r="AG27" s="8"/>
      <c r="AH27" s="11"/>
      <c r="AI27" s="10"/>
      <c r="AJ27" s="8"/>
      <c r="AK27" s="11"/>
      <c r="AL27" s="8">
        <f>IF($H27="","",IFERROR(VLOOKUP($H27,Справочники!$A$8:$B$22,2,0),""))</f>
      </c>
      <c r="AM27" s="8">
        <f>IF($AE27&lt;&gt;"",$AE27,IF(OR($H27="Выиграна",$H27="Договор заключён",$H27="Договор исполняется",$H27="Исполнен/закрыт"),"Выиграна",IF($H27="Проиграна","Проиграна",IF($H27="Отменена заказчиком","Отменена заказчиком",""))))</f>
      </c>
    </row>
    <row r="28" ht="18" customHeight="1" spans="1:39" x14ac:dyDescent="0.25">
      <c r="A28" s="7">
        <f>IF(COUNTA($B28:$K28)=0,"",COUNT($A$2:A27)+1)</f>
      </c>
      <c r="B28" s="8"/>
      <c r="C28" s="8"/>
      <c r="D28" s="8"/>
      <c r="E28" s="9"/>
      <c r="F28" s="10"/>
      <c r="G28" s="11"/>
      <c r="H28" s="8"/>
      <c r="I28" s="8"/>
      <c r="J28" s="8"/>
      <c r="K28" s="8"/>
      <c r="L28" s="8"/>
      <c r="M28" s="8"/>
      <c r="N28" s="12"/>
      <c r="O28" s="10">
        <f>IF($N28="","",IF($M28="Доллары",$N28*Справочники!$B$4,$N28))</f>
      </c>
      <c r="P28" s="8"/>
      <c r="Q28" s="8"/>
      <c r="R28" s="8"/>
      <c r="S28" s="10"/>
      <c r="T28" s="8"/>
      <c r="U28" s="8"/>
      <c r="V28" s="8"/>
      <c r="W28" s="11"/>
      <c r="X28" s="8"/>
      <c r="Y28" s="11"/>
      <c r="Z28" s="10"/>
      <c r="AA28" s="10"/>
      <c r="AB28" s="13">
        <f>IF(OR($Z28="",$AA28="",$Z28=0),"",($Z28-$AA28)/$Z28)</f>
      </c>
      <c r="AC28" s="8"/>
      <c r="AD28" s="11"/>
      <c r="AE28" s="8"/>
      <c r="AF28" s="8"/>
      <c r="AG28" s="8"/>
      <c r="AH28" s="11"/>
      <c r="AI28" s="10"/>
      <c r="AJ28" s="8"/>
      <c r="AK28" s="11"/>
      <c r="AL28" s="8">
        <f>IF($H28="","",IFERROR(VLOOKUP($H28,Справочники!$A$8:$B$22,2,0),""))</f>
      </c>
      <c r="AM28" s="8">
        <f>IF($AE28&lt;&gt;"",$AE28,IF(OR($H28="Выиграна",$H28="Договор заключён",$H28="Договор исполняется",$H28="Исполнен/закрыт"),"Выиграна",IF($H28="Проиграна","Проиграна",IF($H28="Отменена заказчиком","Отменена заказчиком",""))))</f>
      </c>
    </row>
    <row r="29" ht="18" customHeight="1" spans="1:39" x14ac:dyDescent="0.25">
      <c r="A29" s="7">
        <f>IF(COUNTA($B29:$K29)=0,"",COUNT($A$2:A28)+1)</f>
      </c>
      <c r="B29" s="8"/>
      <c r="C29" s="8"/>
      <c r="D29" s="8"/>
      <c r="E29" s="9"/>
      <c r="F29" s="10"/>
      <c r="G29" s="11"/>
      <c r="H29" s="8"/>
      <c r="I29" s="8"/>
      <c r="J29" s="8"/>
      <c r="K29" s="8"/>
      <c r="L29" s="8"/>
      <c r="M29" s="8"/>
      <c r="N29" s="12"/>
      <c r="O29" s="10">
        <f>IF($N29="","",IF($M29="Доллары",$N29*Справочники!$B$4,$N29))</f>
      </c>
      <c r="P29" s="8"/>
      <c r="Q29" s="8"/>
      <c r="R29" s="8"/>
      <c r="S29" s="10"/>
      <c r="T29" s="8"/>
      <c r="U29" s="8"/>
      <c r="V29" s="8"/>
      <c r="W29" s="11"/>
      <c r="X29" s="8"/>
      <c r="Y29" s="11"/>
      <c r="Z29" s="10"/>
      <c r="AA29" s="10"/>
      <c r="AB29" s="13">
        <f>IF(OR($Z29="",$AA29="",$Z29=0),"",($Z29-$AA29)/$Z29)</f>
      </c>
      <c r="AC29" s="8"/>
      <c r="AD29" s="11"/>
      <c r="AE29" s="8"/>
      <c r="AF29" s="8"/>
      <c r="AG29" s="8"/>
      <c r="AH29" s="11"/>
      <c r="AI29" s="10"/>
      <c r="AJ29" s="8"/>
      <c r="AK29" s="11"/>
      <c r="AL29" s="8">
        <f>IF($H29="","",IFERROR(VLOOKUP($H29,Справочники!$A$8:$B$22,2,0),""))</f>
      </c>
      <c r="AM29" s="8">
        <f>IF($AE29&lt;&gt;"",$AE29,IF(OR($H29="Выиграна",$H29="Договор заключён",$H29="Договор исполняется",$H29="Исполнен/закрыт"),"Выиграна",IF($H29="Проиграна","Проиграна",IF($H29="Отменена заказчиком","Отменена заказчиком",""))))</f>
      </c>
    </row>
    <row r="30" ht="18" customHeight="1" spans="1:39" x14ac:dyDescent="0.25">
      <c r="A30" s="7">
        <f>IF(COUNTA($B30:$K30)=0,"",COUNT($A$2:A29)+1)</f>
      </c>
      <c r="B30" s="8"/>
      <c r="C30" s="8"/>
      <c r="D30" s="8"/>
      <c r="E30" s="9"/>
      <c r="F30" s="10"/>
      <c r="G30" s="11"/>
      <c r="H30" s="8"/>
      <c r="I30" s="8"/>
      <c r="J30" s="8"/>
      <c r="K30" s="8"/>
      <c r="L30" s="8"/>
      <c r="M30" s="8"/>
      <c r="N30" s="12"/>
      <c r="O30" s="10">
        <f>IF($N30="","",IF($M30="Доллары",$N30*Справочники!$B$4,$N30))</f>
      </c>
      <c r="P30" s="8"/>
      <c r="Q30" s="8"/>
      <c r="R30" s="8"/>
      <c r="S30" s="10"/>
      <c r="T30" s="8"/>
      <c r="U30" s="8"/>
      <c r="V30" s="8"/>
      <c r="W30" s="11"/>
      <c r="X30" s="8"/>
      <c r="Y30" s="11"/>
      <c r="Z30" s="10"/>
      <c r="AA30" s="10"/>
      <c r="AB30" s="13">
        <f>IF(OR($Z30="",$AA30="",$Z30=0),"",($Z30-$AA30)/$Z30)</f>
      </c>
      <c r="AC30" s="8"/>
      <c r="AD30" s="11"/>
      <c r="AE30" s="8"/>
      <c r="AF30" s="8"/>
      <c r="AG30" s="8"/>
      <c r="AH30" s="11"/>
      <c r="AI30" s="10"/>
      <c r="AJ30" s="8"/>
      <c r="AK30" s="11"/>
      <c r="AL30" s="8">
        <f>IF($H30="","",IFERROR(VLOOKUP($H30,Справочники!$A$8:$B$22,2,0),""))</f>
      </c>
      <c r="AM30" s="8">
        <f>IF($AE30&lt;&gt;"",$AE30,IF(OR($H30="Выиграна",$H30="Договор заключён",$H30="Договор исполняется",$H30="Исполнен/закрыт"),"Выиграна",IF($H30="Проиграна","Проиграна",IF($H30="Отменена заказчиком","Отменена заказчиком",""))))</f>
      </c>
    </row>
    <row r="31" ht="18" customHeight="1" spans="1:39" x14ac:dyDescent="0.25">
      <c r="A31" s="7">
        <f>IF(COUNTA($B31:$K31)=0,"",COUNT($A$2:A30)+1)</f>
      </c>
      <c r="B31" s="8"/>
      <c r="C31" s="8"/>
      <c r="D31" s="8"/>
      <c r="E31" s="9"/>
      <c r="F31" s="10"/>
      <c r="G31" s="11"/>
      <c r="H31" s="8"/>
      <c r="I31" s="8"/>
      <c r="J31" s="8"/>
      <c r="K31" s="8"/>
      <c r="L31" s="8"/>
      <c r="M31" s="8"/>
      <c r="N31" s="12"/>
      <c r="O31" s="10">
        <f>IF($N31="","",IF($M31="Доллары",$N31*Справочники!$B$4,$N31))</f>
      </c>
      <c r="P31" s="8"/>
      <c r="Q31" s="8"/>
      <c r="R31" s="8"/>
      <c r="S31" s="10"/>
      <c r="T31" s="8"/>
      <c r="U31" s="8"/>
      <c r="V31" s="8"/>
      <c r="W31" s="11"/>
      <c r="X31" s="8"/>
      <c r="Y31" s="11"/>
      <c r="Z31" s="10"/>
      <c r="AA31" s="10"/>
      <c r="AB31" s="13">
        <f>IF(OR($Z31="",$AA31="",$Z31=0),"",($Z31-$AA31)/$Z31)</f>
      </c>
      <c r="AC31" s="8"/>
      <c r="AD31" s="11"/>
      <c r="AE31" s="8"/>
      <c r="AF31" s="8"/>
      <c r="AG31" s="8"/>
      <c r="AH31" s="11"/>
      <c r="AI31" s="10"/>
      <c r="AJ31" s="8"/>
      <c r="AK31" s="11"/>
      <c r="AL31" s="8">
        <f>IF($H31="","",IFERROR(VLOOKUP($H31,Справочники!$A$8:$B$22,2,0),""))</f>
      </c>
      <c r="AM31" s="8">
        <f>IF($AE31&lt;&gt;"",$AE31,IF(OR($H31="Выиграна",$H31="Договор заключён",$H31="Договор исполняется",$H31="Исполнен/закрыт"),"Выиграна",IF($H31="Проиграна","Проиграна",IF($H31="Отменена заказчиком","Отменена заказчиком",""))))</f>
      </c>
    </row>
    <row r="32" ht="18" customHeight="1" spans="1:39" x14ac:dyDescent="0.25">
      <c r="A32" s="7">
        <f>IF(COUNTA($B32:$K32)=0,"",COUNT($A$2:A31)+1)</f>
      </c>
      <c r="B32" s="8"/>
      <c r="C32" s="8"/>
      <c r="D32" s="8"/>
      <c r="E32" s="9"/>
      <c r="F32" s="10"/>
      <c r="G32" s="11"/>
      <c r="H32" s="8"/>
      <c r="I32" s="8"/>
      <c r="J32" s="8"/>
      <c r="K32" s="8"/>
      <c r="L32" s="8"/>
      <c r="M32" s="8"/>
      <c r="N32" s="12"/>
      <c r="O32" s="10">
        <f>IF($N32="","",IF($M32="Доллары",$N32*Справочники!$B$4,$N32))</f>
      </c>
      <c r="P32" s="8"/>
      <c r="Q32" s="8"/>
      <c r="R32" s="8"/>
      <c r="S32" s="10"/>
      <c r="T32" s="8"/>
      <c r="U32" s="8"/>
      <c r="V32" s="8"/>
      <c r="W32" s="11"/>
      <c r="X32" s="8"/>
      <c r="Y32" s="11"/>
      <c r="Z32" s="10"/>
      <c r="AA32" s="10"/>
      <c r="AB32" s="13">
        <f>IF(OR($Z32="",$AA32="",$Z32=0),"",($Z32-$AA32)/$Z32)</f>
      </c>
      <c r="AC32" s="8"/>
      <c r="AD32" s="11"/>
      <c r="AE32" s="8"/>
      <c r="AF32" s="8"/>
      <c r="AG32" s="8"/>
      <c r="AH32" s="11"/>
      <c r="AI32" s="10"/>
      <c r="AJ32" s="8"/>
      <c r="AK32" s="11"/>
      <c r="AL32" s="8">
        <f>IF($H32="","",IFERROR(VLOOKUP($H32,Справочники!$A$8:$B$22,2,0),""))</f>
      </c>
      <c r="AM32" s="8">
        <f>IF($AE32&lt;&gt;"",$AE32,IF(OR($H32="Выиграна",$H32="Договор заключён",$H32="Договор исполняется",$H32="Исполнен/закрыт"),"Выиграна",IF($H32="Проиграна","Проиграна",IF($H32="Отменена заказчиком","Отменена заказчиком",""))))</f>
      </c>
    </row>
    <row r="33" ht="18" customHeight="1" spans="1:39" x14ac:dyDescent="0.25">
      <c r="A33" s="7">
        <f>IF(COUNTA($B33:$K33)=0,"",COUNT($A$2:A32)+1)</f>
      </c>
      <c r="B33" s="8"/>
      <c r="C33" s="8"/>
      <c r="D33" s="8"/>
      <c r="E33" s="9"/>
      <c r="F33" s="10"/>
      <c r="G33" s="11"/>
      <c r="H33" s="8"/>
      <c r="I33" s="8"/>
      <c r="J33" s="8"/>
      <c r="K33" s="8"/>
      <c r="L33" s="8"/>
      <c r="M33" s="8"/>
      <c r="N33" s="12"/>
      <c r="O33" s="10">
        <f>IF($N33="","",IF($M33="Доллары",$N33*Справочники!$B$4,$N33))</f>
      </c>
      <c r="P33" s="8"/>
      <c r="Q33" s="8"/>
      <c r="R33" s="8"/>
      <c r="S33" s="10"/>
      <c r="T33" s="8"/>
      <c r="U33" s="8"/>
      <c r="V33" s="8"/>
      <c r="W33" s="11"/>
      <c r="X33" s="8"/>
      <c r="Y33" s="11"/>
      <c r="Z33" s="10"/>
      <c r="AA33" s="10"/>
      <c r="AB33" s="13">
        <f>IF(OR($Z33="",$AA33="",$Z33=0),"",($Z33-$AA33)/$Z33)</f>
      </c>
      <c r="AC33" s="8"/>
      <c r="AD33" s="11"/>
      <c r="AE33" s="8"/>
      <c r="AF33" s="8"/>
      <c r="AG33" s="8"/>
      <c r="AH33" s="11"/>
      <c r="AI33" s="10"/>
      <c r="AJ33" s="8"/>
      <c r="AK33" s="11"/>
      <c r="AL33" s="8">
        <f>IF($H33="","",IFERROR(VLOOKUP($H33,Справочники!$A$8:$B$22,2,0),""))</f>
      </c>
      <c r="AM33" s="8">
        <f>IF($AE33&lt;&gt;"",$AE33,IF(OR($H33="Выиграна",$H33="Договор заключён",$H33="Договор исполняется",$H33="Исполнен/закрыт"),"Выиграна",IF($H33="Проиграна","Проиграна",IF($H33="Отменена заказчиком","Отменена заказчиком",""))))</f>
      </c>
    </row>
    <row r="34" ht="18" customHeight="1" spans="1:39" x14ac:dyDescent="0.25">
      <c r="A34" s="7">
        <f>IF(COUNTA($B34:$K34)=0,"",COUNT($A$2:A33)+1)</f>
      </c>
      <c r="B34" s="8"/>
      <c r="C34" s="8"/>
      <c r="D34" s="8"/>
      <c r="E34" s="9"/>
      <c r="F34" s="10"/>
      <c r="G34" s="11"/>
      <c r="H34" s="8"/>
      <c r="I34" s="8"/>
      <c r="J34" s="8"/>
      <c r="K34" s="8"/>
      <c r="L34" s="8"/>
      <c r="M34" s="8"/>
      <c r="N34" s="12"/>
      <c r="O34" s="10">
        <f>IF($N34="","",IF($M34="Доллары",$N34*Справочники!$B$4,$N34))</f>
      </c>
      <c r="P34" s="8"/>
      <c r="Q34" s="8"/>
      <c r="R34" s="8"/>
      <c r="S34" s="10"/>
      <c r="T34" s="8"/>
      <c r="U34" s="8"/>
      <c r="V34" s="8"/>
      <c r="W34" s="11"/>
      <c r="X34" s="8"/>
      <c r="Y34" s="11"/>
      <c r="Z34" s="10"/>
      <c r="AA34" s="10"/>
      <c r="AB34" s="13">
        <f>IF(OR($Z34="",$AA34="",$Z34=0),"",($Z34-$AA34)/$Z34)</f>
      </c>
      <c r="AC34" s="8"/>
      <c r="AD34" s="11"/>
      <c r="AE34" s="8"/>
      <c r="AF34" s="8"/>
      <c r="AG34" s="8"/>
      <c r="AH34" s="11"/>
      <c r="AI34" s="10"/>
      <c r="AJ34" s="8"/>
      <c r="AK34" s="11"/>
      <c r="AL34" s="8">
        <f>IF($H34="","",IFERROR(VLOOKUP($H34,Справочники!$A$8:$B$22,2,0),""))</f>
      </c>
      <c r="AM34" s="8">
        <f>IF($AE34&lt;&gt;"",$AE34,IF(OR($H34="Выиграна",$H34="Договор заключён",$H34="Договор исполняется",$H34="Исполнен/закрыт"),"Выиграна",IF($H34="Проиграна","Проиграна",IF($H34="Отменена заказчиком","Отменена заказчиком",""))))</f>
      </c>
    </row>
    <row r="35" ht="18" customHeight="1" spans="1:39" x14ac:dyDescent="0.25">
      <c r="A35" s="7">
        <f>IF(COUNTA($B35:$K35)=0,"",COUNT($A$2:A34)+1)</f>
      </c>
      <c r="B35" s="8"/>
      <c r="C35" s="8"/>
      <c r="D35" s="8"/>
      <c r="E35" s="9"/>
      <c r="F35" s="10"/>
      <c r="G35" s="11"/>
      <c r="H35" s="8"/>
      <c r="I35" s="8"/>
      <c r="J35" s="8"/>
      <c r="K35" s="8"/>
      <c r="L35" s="8"/>
      <c r="M35" s="8"/>
      <c r="N35" s="12"/>
      <c r="O35" s="10">
        <f>IF($N35="","",IF($M35="Доллары",$N35*Справочники!$B$4,$N35))</f>
      </c>
      <c r="P35" s="8"/>
      <c r="Q35" s="8"/>
      <c r="R35" s="8"/>
      <c r="S35" s="10"/>
      <c r="T35" s="8"/>
      <c r="U35" s="8"/>
      <c r="V35" s="8"/>
      <c r="W35" s="11"/>
      <c r="X35" s="8"/>
      <c r="Y35" s="11"/>
      <c r="Z35" s="10"/>
      <c r="AA35" s="10"/>
      <c r="AB35" s="13">
        <f>IF(OR($Z35="",$AA35="",$Z35=0),"",($Z35-$AA35)/$Z35)</f>
      </c>
      <c r="AC35" s="8"/>
      <c r="AD35" s="11"/>
      <c r="AE35" s="8"/>
      <c r="AF35" s="8"/>
      <c r="AG35" s="8"/>
      <c r="AH35" s="11"/>
      <c r="AI35" s="10"/>
      <c r="AJ35" s="8"/>
      <c r="AK35" s="11"/>
      <c r="AL35" s="8">
        <f>IF($H35="","",IFERROR(VLOOKUP($H35,Справочники!$A$8:$B$22,2,0),""))</f>
      </c>
      <c r="AM35" s="8">
        <f>IF($AE35&lt;&gt;"",$AE35,IF(OR($H35="Выиграна",$H35="Договор заключён",$H35="Договор исполняется",$H35="Исполнен/закрыт"),"Выиграна",IF($H35="Проиграна","Проиграна",IF($H35="Отменена заказчиком","Отменена заказчиком",""))))</f>
      </c>
    </row>
    <row r="36" ht="18" customHeight="1" spans="1:39" x14ac:dyDescent="0.25">
      <c r="A36" s="7">
        <f>IF(COUNTA($B36:$K36)=0,"",COUNT($A$2:A35)+1)</f>
      </c>
      <c r="B36" s="8"/>
      <c r="C36" s="8"/>
      <c r="D36" s="8"/>
      <c r="E36" s="9"/>
      <c r="F36" s="10"/>
      <c r="G36" s="11"/>
      <c r="H36" s="8"/>
      <c r="I36" s="8"/>
      <c r="J36" s="8"/>
      <c r="K36" s="8"/>
      <c r="L36" s="8"/>
      <c r="M36" s="8"/>
      <c r="N36" s="12"/>
      <c r="O36" s="10">
        <f>IF($N36="","",IF($M36="Доллары",$N36*Справочники!$B$4,$N36))</f>
      </c>
      <c r="P36" s="8"/>
      <c r="Q36" s="8"/>
      <c r="R36" s="8"/>
      <c r="S36" s="10"/>
      <c r="T36" s="8"/>
      <c r="U36" s="8"/>
      <c r="V36" s="8"/>
      <c r="W36" s="11"/>
      <c r="X36" s="8"/>
      <c r="Y36" s="11"/>
      <c r="Z36" s="10"/>
      <c r="AA36" s="10"/>
      <c r="AB36" s="13">
        <f>IF(OR($Z36="",$AA36="",$Z36=0),"",($Z36-$AA36)/$Z36)</f>
      </c>
      <c r="AC36" s="8"/>
      <c r="AD36" s="11"/>
      <c r="AE36" s="8"/>
      <c r="AF36" s="8"/>
      <c r="AG36" s="8"/>
      <c r="AH36" s="11"/>
      <c r="AI36" s="10"/>
      <c r="AJ36" s="8"/>
      <c r="AK36" s="11"/>
      <c r="AL36" s="8">
        <f>IF($H36="","",IFERROR(VLOOKUP($H36,Справочники!$A$8:$B$22,2,0),""))</f>
      </c>
      <c r="AM36" s="8">
        <f>IF($AE36&lt;&gt;"",$AE36,IF(OR($H36="Выиграна",$H36="Договор заключён",$H36="Договор исполняется",$H36="Исполнен/закрыт"),"Выиграна",IF($H36="Проиграна","Проиграна",IF($H36="Отменена заказчиком","Отменена заказчиком",""))))</f>
      </c>
    </row>
    <row r="37" ht="18" customHeight="1" spans="1:39" x14ac:dyDescent="0.25">
      <c r="A37" s="7">
        <f>IF(COUNTA($B37:$K37)=0,"",COUNT($A$2:A36)+1)</f>
      </c>
      <c r="B37" s="8"/>
      <c r="C37" s="8"/>
      <c r="D37" s="8"/>
      <c r="E37" s="9"/>
      <c r="F37" s="10"/>
      <c r="G37" s="11"/>
      <c r="H37" s="8"/>
      <c r="I37" s="8"/>
      <c r="J37" s="8"/>
      <c r="K37" s="8"/>
      <c r="L37" s="8"/>
      <c r="M37" s="8"/>
      <c r="N37" s="12"/>
      <c r="O37" s="10">
        <f>IF($N37="","",IF($M37="Доллары",$N37*Справочники!$B$4,$N37))</f>
      </c>
      <c r="P37" s="8"/>
      <c r="Q37" s="8"/>
      <c r="R37" s="8"/>
      <c r="S37" s="10"/>
      <c r="T37" s="8"/>
      <c r="U37" s="8"/>
      <c r="V37" s="8"/>
      <c r="W37" s="11"/>
      <c r="X37" s="8"/>
      <c r="Y37" s="11"/>
      <c r="Z37" s="10"/>
      <c r="AA37" s="10"/>
      <c r="AB37" s="13">
        <f>IF(OR($Z37="",$AA37="",$Z37=0),"",($Z37-$AA37)/$Z37)</f>
      </c>
      <c r="AC37" s="8"/>
      <c r="AD37" s="11"/>
      <c r="AE37" s="8"/>
      <c r="AF37" s="8"/>
      <c r="AG37" s="8"/>
      <c r="AH37" s="11"/>
      <c r="AI37" s="10"/>
      <c r="AJ37" s="8"/>
      <c r="AK37" s="11"/>
      <c r="AL37" s="8">
        <f>IF($H37="","",IFERROR(VLOOKUP($H37,Справочники!$A$8:$B$22,2,0),""))</f>
      </c>
      <c r="AM37" s="8">
        <f>IF($AE37&lt;&gt;"",$AE37,IF(OR($H37="Выиграна",$H37="Договор заключён",$H37="Договор исполняется",$H37="Исполнен/закрыт"),"Выиграна",IF($H37="Проиграна","Проиграна",IF($H37="Отменена заказчиком","Отменена заказчиком",""))))</f>
      </c>
    </row>
    <row r="38" ht="18" customHeight="1" spans="1:39" x14ac:dyDescent="0.25">
      <c r="A38" s="7">
        <f>IF(COUNTA($B38:$K38)=0,"",COUNT($A$2:A37)+1)</f>
      </c>
      <c r="B38" s="8"/>
      <c r="C38" s="8"/>
      <c r="D38" s="8"/>
      <c r="E38" s="9"/>
      <c r="F38" s="10"/>
      <c r="G38" s="11"/>
      <c r="H38" s="8"/>
      <c r="I38" s="8"/>
      <c r="J38" s="8"/>
      <c r="K38" s="8"/>
      <c r="L38" s="8"/>
      <c r="M38" s="8"/>
      <c r="N38" s="12"/>
      <c r="O38" s="10">
        <f>IF($N38="","",IF($M38="Доллары",$N38*Справочники!$B$4,$N38))</f>
      </c>
      <c r="P38" s="8"/>
      <c r="Q38" s="8"/>
      <c r="R38" s="8"/>
      <c r="S38" s="10"/>
      <c r="T38" s="8"/>
      <c r="U38" s="8"/>
      <c r="V38" s="8"/>
      <c r="W38" s="11"/>
      <c r="X38" s="8"/>
      <c r="Y38" s="11"/>
      <c r="Z38" s="10"/>
      <c r="AA38" s="10"/>
      <c r="AB38" s="13">
        <f>IF(OR($Z38="",$AA38="",$Z38=0),"",($Z38-$AA38)/$Z38)</f>
      </c>
      <c r="AC38" s="8"/>
      <c r="AD38" s="11"/>
      <c r="AE38" s="8"/>
      <c r="AF38" s="8"/>
      <c r="AG38" s="8"/>
      <c r="AH38" s="11"/>
      <c r="AI38" s="10"/>
      <c r="AJ38" s="8"/>
      <c r="AK38" s="11"/>
      <c r="AL38" s="8">
        <f>IF($H38="","",IFERROR(VLOOKUP($H38,Справочники!$A$8:$B$22,2,0),""))</f>
      </c>
      <c r="AM38" s="8">
        <f>IF($AE38&lt;&gt;"",$AE38,IF(OR($H38="Выиграна",$H38="Договор заключён",$H38="Договор исполняется",$H38="Исполнен/закрыт"),"Выиграна",IF($H38="Проиграна","Проиграна",IF($H38="Отменена заказчиком","Отменена заказчиком",""))))</f>
      </c>
    </row>
    <row r="39" ht="18" customHeight="1" spans="1:39" x14ac:dyDescent="0.25">
      <c r="A39" s="7">
        <f>IF(COUNTA($B39:$K39)=0,"",COUNT($A$2:A38)+1)</f>
      </c>
      <c r="B39" s="8"/>
      <c r="C39" s="8"/>
      <c r="D39" s="8"/>
      <c r="E39" s="9"/>
      <c r="F39" s="10"/>
      <c r="G39" s="11"/>
      <c r="H39" s="8"/>
      <c r="I39" s="8"/>
      <c r="J39" s="8"/>
      <c r="K39" s="8"/>
      <c r="L39" s="8"/>
      <c r="M39" s="8"/>
      <c r="N39" s="12"/>
      <c r="O39" s="10">
        <f>IF($N39="","",IF($M39="Доллары",$N39*Справочники!$B$4,$N39))</f>
      </c>
      <c r="P39" s="8"/>
      <c r="Q39" s="8"/>
      <c r="R39" s="8"/>
      <c r="S39" s="10"/>
      <c r="T39" s="8"/>
      <c r="U39" s="8"/>
      <c r="V39" s="8"/>
      <c r="W39" s="11"/>
      <c r="X39" s="8"/>
      <c r="Y39" s="11"/>
      <c r="Z39" s="10"/>
      <c r="AA39" s="10"/>
      <c r="AB39" s="13">
        <f>IF(OR($Z39="",$AA39="",$Z39=0),"",($Z39-$AA39)/$Z39)</f>
      </c>
      <c r="AC39" s="8"/>
      <c r="AD39" s="11"/>
      <c r="AE39" s="8"/>
      <c r="AF39" s="8"/>
      <c r="AG39" s="8"/>
      <c r="AH39" s="11"/>
      <c r="AI39" s="10"/>
      <c r="AJ39" s="8"/>
      <c r="AK39" s="11"/>
      <c r="AL39" s="8">
        <f>IF($H39="","",IFERROR(VLOOKUP($H39,Справочники!$A$8:$B$22,2,0),""))</f>
      </c>
      <c r="AM39" s="8">
        <f>IF($AE39&lt;&gt;"",$AE39,IF(OR($H39="Выиграна",$H39="Договор заключён",$H39="Договор исполняется",$H39="Исполнен/закрыт"),"Выиграна",IF($H39="Проиграна","Проиграна",IF($H39="Отменена заказчиком","Отменена заказчиком",""))))</f>
      </c>
    </row>
    <row r="40" ht="18" customHeight="1" spans="1:39" x14ac:dyDescent="0.25">
      <c r="A40" s="7">
        <f>IF(COUNTA($B40:$K40)=0,"",COUNT($A$2:A39)+1)</f>
      </c>
      <c r="B40" s="8"/>
      <c r="C40" s="8"/>
      <c r="D40" s="8"/>
      <c r="E40" s="9"/>
      <c r="F40" s="10"/>
      <c r="G40" s="11"/>
      <c r="H40" s="8"/>
      <c r="I40" s="8"/>
      <c r="J40" s="8"/>
      <c r="K40" s="8"/>
      <c r="L40" s="8"/>
      <c r="M40" s="8"/>
      <c r="N40" s="12"/>
      <c r="O40" s="10">
        <f>IF($N40="","",IF($M40="Доллары",$N40*Справочники!$B$4,$N40))</f>
      </c>
      <c r="P40" s="8"/>
      <c r="Q40" s="8"/>
      <c r="R40" s="8"/>
      <c r="S40" s="10"/>
      <c r="T40" s="8"/>
      <c r="U40" s="8"/>
      <c r="V40" s="8"/>
      <c r="W40" s="11"/>
      <c r="X40" s="8"/>
      <c r="Y40" s="11"/>
      <c r="Z40" s="10"/>
      <c r="AA40" s="10"/>
      <c r="AB40" s="13">
        <f>IF(OR($Z40="",$AA40="",$Z40=0),"",($Z40-$AA40)/$Z40)</f>
      </c>
      <c r="AC40" s="8"/>
      <c r="AD40" s="11"/>
      <c r="AE40" s="8"/>
      <c r="AF40" s="8"/>
      <c r="AG40" s="8"/>
      <c r="AH40" s="11"/>
      <c r="AI40" s="10"/>
      <c r="AJ40" s="8"/>
      <c r="AK40" s="11"/>
      <c r="AL40" s="8">
        <f>IF($H40="","",IFERROR(VLOOKUP($H40,Справочники!$A$8:$B$22,2,0),""))</f>
      </c>
      <c r="AM40" s="8">
        <f>IF($AE40&lt;&gt;"",$AE40,IF(OR($H40="Выиграна",$H40="Договор заключён",$H40="Договор исполняется",$H40="Исполнен/закрыт"),"Выиграна",IF($H40="Проиграна","Проиграна",IF($H40="Отменена заказчиком","Отменена заказчиком",""))))</f>
      </c>
    </row>
    <row r="41" ht="18" customHeight="1" spans="1:39" x14ac:dyDescent="0.25">
      <c r="A41" s="7">
        <f>IF(COUNTA($B41:$K41)=0,"",COUNT($A$2:A40)+1)</f>
      </c>
      <c r="B41" s="8"/>
      <c r="C41" s="8"/>
      <c r="D41" s="8"/>
      <c r="E41" s="9"/>
      <c r="F41" s="10"/>
      <c r="G41" s="11"/>
      <c r="H41" s="8"/>
      <c r="I41" s="8"/>
      <c r="J41" s="8"/>
      <c r="K41" s="8"/>
      <c r="L41" s="8"/>
      <c r="M41" s="8"/>
      <c r="N41" s="12"/>
      <c r="O41" s="10">
        <f>IF($N41="","",IF($M41="Доллары",$N41*Справочники!$B$4,$N41))</f>
      </c>
      <c r="P41" s="8"/>
      <c r="Q41" s="8"/>
      <c r="R41" s="8"/>
      <c r="S41" s="10"/>
      <c r="T41" s="8"/>
      <c r="U41" s="8"/>
      <c r="V41" s="8"/>
      <c r="W41" s="11"/>
      <c r="X41" s="8"/>
      <c r="Y41" s="11"/>
      <c r="Z41" s="10"/>
      <c r="AA41" s="10"/>
      <c r="AB41" s="13">
        <f>IF(OR($Z41="",$AA41="",$Z41=0),"",($Z41-$AA41)/$Z41)</f>
      </c>
      <c r="AC41" s="8"/>
      <c r="AD41" s="11"/>
      <c r="AE41" s="8"/>
      <c r="AF41" s="8"/>
      <c r="AG41" s="8"/>
      <c r="AH41" s="11"/>
      <c r="AI41" s="10"/>
      <c r="AJ41" s="8"/>
      <c r="AK41" s="11"/>
      <c r="AL41" s="8">
        <f>IF($H41="","",IFERROR(VLOOKUP($H41,Справочники!$A$8:$B$22,2,0),""))</f>
      </c>
      <c r="AM41" s="8">
        <f>IF($AE41&lt;&gt;"",$AE41,IF(OR($H41="Выиграна",$H41="Договор заключён",$H41="Договор исполняется",$H41="Исполнен/закрыт"),"Выиграна",IF($H41="Проиграна","Проиграна",IF($H41="Отменена заказчиком","Отменена заказчиком",""))))</f>
      </c>
    </row>
    <row r="42" ht="18" customHeight="1" spans="1:39" x14ac:dyDescent="0.25">
      <c r="A42" s="7">
        <f>IF(COUNTA($B42:$K42)=0,"",COUNT($A$2:A41)+1)</f>
      </c>
      <c r="B42" s="8"/>
      <c r="C42" s="8"/>
      <c r="D42" s="8"/>
      <c r="E42" s="9"/>
      <c r="F42" s="10"/>
      <c r="G42" s="11"/>
      <c r="H42" s="8"/>
      <c r="I42" s="8"/>
      <c r="J42" s="8"/>
      <c r="K42" s="8"/>
      <c r="L42" s="8"/>
      <c r="M42" s="8"/>
      <c r="N42" s="12"/>
      <c r="O42" s="10">
        <f>IF($N42="","",IF($M42="Доллары",$N42*Справочники!$B$4,$N42))</f>
      </c>
      <c r="P42" s="8"/>
      <c r="Q42" s="8"/>
      <c r="R42" s="8"/>
      <c r="S42" s="10"/>
      <c r="T42" s="8"/>
      <c r="U42" s="8"/>
      <c r="V42" s="8"/>
      <c r="W42" s="11"/>
      <c r="X42" s="8"/>
      <c r="Y42" s="11"/>
      <c r="Z42" s="10"/>
      <c r="AA42" s="10"/>
      <c r="AB42" s="13">
        <f>IF(OR($Z42="",$AA42="",$Z42=0),"",($Z42-$AA42)/$Z42)</f>
      </c>
      <c r="AC42" s="8"/>
      <c r="AD42" s="11"/>
      <c r="AE42" s="8"/>
      <c r="AF42" s="8"/>
      <c r="AG42" s="8"/>
      <c r="AH42" s="11"/>
      <c r="AI42" s="10"/>
      <c r="AJ42" s="8"/>
      <c r="AK42" s="11"/>
      <c r="AL42" s="8">
        <f>IF($H42="","",IFERROR(VLOOKUP($H42,Справочники!$A$8:$B$22,2,0),""))</f>
      </c>
      <c r="AM42" s="8">
        <f>IF($AE42&lt;&gt;"",$AE42,IF(OR($H42="Выиграна",$H42="Договор заключён",$H42="Договор исполняется",$H42="Исполнен/закрыт"),"Выиграна",IF($H42="Проиграна","Проиграна",IF($H42="Отменена заказчиком","Отменена заказчиком",""))))</f>
      </c>
    </row>
    <row r="43" ht="18" customHeight="1" spans="1:39" x14ac:dyDescent="0.25">
      <c r="A43" s="7">
        <f>IF(COUNTA($B43:$K43)=0,"",COUNT($A$2:A42)+1)</f>
      </c>
      <c r="B43" s="8"/>
      <c r="C43" s="8"/>
      <c r="D43" s="8"/>
      <c r="E43" s="9"/>
      <c r="F43" s="10"/>
      <c r="G43" s="11"/>
      <c r="H43" s="8"/>
      <c r="I43" s="8"/>
      <c r="J43" s="8"/>
      <c r="K43" s="8"/>
      <c r="L43" s="8"/>
      <c r="M43" s="8"/>
      <c r="N43" s="12"/>
      <c r="O43" s="10">
        <f>IF($N43="","",IF($M43="Доллары",$N43*Справочники!$B$4,$N43))</f>
      </c>
      <c r="P43" s="8"/>
      <c r="Q43" s="8"/>
      <c r="R43" s="8"/>
      <c r="S43" s="10"/>
      <c r="T43" s="8"/>
      <c r="U43" s="8"/>
      <c r="V43" s="8"/>
      <c r="W43" s="11"/>
      <c r="X43" s="8"/>
      <c r="Y43" s="11"/>
      <c r="Z43" s="10"/>
      <c r="AA43" s="10"/>
      <c r="AB43" s="13">
        <f>IF(OR($Z43="",$AA43="",$Z43=0),"",($Z43-$AA43)/$Z43)</f>
      </c>
      <c r="AC43" s="8"/>
      <c r="AD43" s="11"/>
      <c r="AE43" s="8"/>
      <c r="AF43" s="8"/>
      <c r="AG43" s="8"/>
      <c r="AH43" s="11"/>
      <c r="AI43" s="10"/>
      <c r="AJ43" s="8"/>
      <c r="AK43" s="11"/>
      <c r="AL43" s="8">
        <f>IF($H43="","",IFERROR(VLOOKUP($H43,Справочники!$A$8:$B$22,2,0),""))</f>
      </c>
      <c r="AM43" s="8">
        <f>IF($AE43&lt;&gt;"",$AE43,IF(OR($H43="Выиграна",$H43="Договор заключён",$H43="Договор исполняется",$H43="Исполнен/закрыт"),"Выиграна",IF($H43="Проиграна","Проиграна",IF($H43="Отменена заказчиком","Отменена заказчиком",""))))</f>
      </c>
    </row>
    <row r="44" ht="18" customHeight="1" spans="1:39" x14ac:dyDescent="0.25">
      <c r="A44" s="7">
        <f>IF(COUNTA($B44:$K44)=0,"",COUNT($A$2:A43)+1)</f>
      </c>
      <c r="B44" s="8"/>
      <c r="C44" s="8"/>
      <c r="D44" s="8"/>
      <c r="E44" s="9"/>
      <c r="F44" s="10"/>
      <c r="G44" s="11"/>
      <c r="H44" s="8"/>
      <c r="I44" s="8"/>
      <c r="J44" s="8"/>
      <c r="K44" s="8"/>
      <c r="L44" s="8"/>
      <c r="M44" s="8"/>
      <c r="N44" s="12"/>
      <c r="O44" s="10">
        <f>IF($N44="","",IF($M44="Доллары",$N44*Справочники!$B$4,$N44))</f>
      </c>
      <c r="P44" s="8"/>
      <c r="Q44" s="8"/>
      <c r="R44" s="8"/>
      <c r="S44" s="10"/>
      <c r="T44" s="8"/>
      <c r="U44" s="8"/>
      <c r="V44" s="8"/>
      <c r="W44" s="11"/>
      <c r="X44" s="8"/>
      <c r="Y44" s="11"/>
      <c r="Z44" s="10"/>
      <c r="AA44" s="10"/>
      <c r="AB44" s="13">
        <f>IF(OR($Z44="",$AA44="",$Z44=0),"",($Z44-$AA44)/$Z44)</f>
      </c>
      <c r="AC44" s="8"/>
      <c r="AD44" s="11"/>
      <c r="AE44" s="8"/>
      <c r="AF44" s="8"/>
      <c r="AG44" s="8"/>
      <c r="AH44" s="11"/>
      <c r="AI44" s="10"/>
      <c r="AJ44" s="8"/>
      <c r="AK44" s="11"/>
      <c r="AL44" s="8">
        <f>IF($H44="","",IFERROR(VLOOKUP($H44,Справочники!$A$8:$B$22,2,0),""))</f>
      </c>
      <c r="AM44" s="8">
        <f>IF($AE44&lt;&gt;"",$AE44,IF(OR($H44="Выиграна",$H44="Договор заключён",$H44="Договор исполняется",$H44="Исполнен/закрыт"),"Выиграна",IF($H44="Проиграна","Проиграна",IF($H44="Отменена заказчиком","Отменена заказчиком",""))))</f>
      </c>
    </row>
    <row r="45" ht="18" customHeight="1" spans="1:39" x14ac:dyDescent="0.25">
      <c r="A45" s="7">
        <f>IF(COUNTA($B45:$K45)=0,"",COUNT($A$2:A44)+1)</f>
      </c>
      <c r="B45" s="8"/>
      <c r="C45" s="8"/>
      <c r="D45" s="8"/>
      <c r="E45" s="9"/>
      <c r="F45" s="10"/>
      <c r="G45" s="11"/>
      <c r="H45" s="8"/>
      <c r="I45" s="8"/>
      <c r="J45" s="8"/>
      <c r="K45" s="8"/>
      <c r="L45" s="8"/>
      <c r="M45" s="8"/>
      <c r="N45" s="12"/>
      <c r="O45" s="10">
        <f>IF($N45="","",IF($M45="Доллары",$N45*Справочники!$B$4,$N45))</f>
      </c>
      <c r="P45" s="8"/>
      <c r="Q45" s="8"/>
      <c r="R45" s="8"/>
      <c r="S45" s="10"/>
      <c r="T45" s="8"/>
      <c r="U45" s="8"/>
      <c r="V45" s="8"/>
      <c r="W45" s="11"/>
      <c r="X45" s="8"/>
      <c r="Y45" s="11"/>
      <c r="Z45" s="10"/>
      <c r="AA45" s="10"/>
      <c r="AB45" s="13">
        <f>IF(OR($Z45="",$AA45="",$Z45=0),"",($Z45-$AA45)/$Z45)</f>
      </c>
      <c r="AC45" s="8"/>
      <c r="AD45" s="11"/>
      <c r="AE45" s="8"/>
      <c r="AF45" s="8"/>
      <c r="AG45" s="8"/>
      <c r="AH45" s="11"/>
      <c r="AI45" s="10"/>
      <c r="AJ45" s="8"/>
      <c r="AK45" s="11"/>
      <c r="AL45" s="8">
        <f>IF($H45="","",IFERROR(VLOOKUP($H45,Справочники!$A$8:$B$22,2,0),""))</f>
      </c>
      <c r="AM45" s="8">
        <f>IF($AE45&lt;&gt;"",$AE45,IF(OR($H45="Выиграна",$H45="Договор заключён",$H45="Договор исполняется",$H45="Исполнен/закрыт"),"Выиграна",IF($H45="Проиграна","Проиграна",IF($H45="Отменена заказчиком","Отменена заказчиком",""))))</f>
      </c>
    </row>
    <row r="46" ht="18" customHeight="1" spans="1:39" x14ac:dyDescent="0.25">
      <c r="A46" s="7">
        <f>IF(COUNTA($B46:$K46)=0,"",COUNT($A$2:A45)+1)</f>
      </c>
      <c r="B46" s="8"/>
      <c r="C46" s="8"/>
      <c r="D46" s="8"/>
      <c r="E46" s="9"/>
      <c r="F46" s="10"/>
      <c r="G46" s="11"/>
      <c r="H46" s="8"/>
      <c r="I46" s="8"/>
      <c r="J46" s="8"/>
      <c r="K46" s="8"/>
      <c r="L46" s="8"/>
      <c r="M46" s="8"/>
      <c r="N46" s="12"/>
      <c r="O46" s="10">
        <f>IF($N46="","",IF($M46="Доллары",$N46*Справочники!$B$4,$N46))</f>
      </c>
      <c r="P46" s="8"/>
      <c r="Q46" s="8"/>
      <c r="R46" s="8"/>
      <c r="S46" s="10"/>
      <c r="T46" s="8"/>
      <c r="U46" s="8"/>
      <c r="V46" s="8"/>
      <c r="W46" s="11"/>
      <c r="X46" s="8"/>
      <c r="Y46" s="11"/>
      <c r="Z46" s="10"/>
      <c r="AA46" s="10"/>
      <c r="AB46" s="13">
        <f>IF(OR($Z46="",$AA46="",$Z46=0),"",($Z46-$AA46)/$Z46)</f>
      </c>
      <c r="AC46" s="8"/>
      <c r="AD46" s="11"/>
      <c r="AE46" s="8"/>
      <c r="AF46" s="8"/>
      <c r="AG46" s="8"/>
      <c r="AH46" s="11"/>
      <c r="AI46" s="10"/>
      <c r="AJ46" s="8"/>
      <c r="AK46" s="11"/>
      <c r="AL46" s="8">
        <f>IF($H46="","",IFERROR(VLOOKUP($H46,Справочники!$A$8:$B$22,2,0),""))</f>
      </c>
      <c r="AM46" s="8">
        <f>IF($AE46&lt;&gt;"",$AE46,IF(OR($H46="Выиграна",$H46="Договор заключён",$H46="Договор исполняется",$H46="Исполнен/закрыт"),"Выиграна",IF($H46="Проиграна","Проиграна",IF($H46="Отменена заказчиком","Отменена заказчиком",""))))</f>
      </c>
    </row>
    <row r="47" ht="18" customHeight="1" spans="1:39" x14ac:dyDescent="0.25">
      <c r="A47" s="7">
        <f>IF(COUNTA($B47:$K47)=0,"",COUNT($A$2:A46)+1)</f>
      </c>
      <c r="B47" s="8"/>
      <c r="C47" s="8"/>
      <c r="D47" s="8"/>
      <c r="E47" s="9"/>
      <c r="F47" s="10"/>
      <c r="G47" s="11"/>
      <c r="H47" s="8"/>
      <c r="I47" s="8"/>
      <c r="J47" s="8"/>
      <c r="K47" s="8"/>
      <c r="L47" s="8"/>
      <c r="M47" s="8"/>
      <c r="N47" s="12"/>
      <c r="O47" s="10">
        <f>IF($N47="","",IF($M47="Доллары",$N47*Справочники!$B$4,$N47))</f>
      </c>
      <c r="P47" s="8"/>
      <c r="Q47" s="8"/>
      <c r="R47" s="8"/>
      <c r="S47" s="10"/>
      <c r="T47" s="8"/>
      <c r="U47" s="8"/>
      <c r="V47" s="8"/>
      <c r="W47" s="11"/>
      <c r="X47" s="8"/>
      <c r="Y47" s="11"/>
      <c r="Z47" s="10"/>
      <c r="AA47" s="10"/>
      <c r="AB47" s="13">
        <f>IF(OR($Z47="",$AA47="",$Z47=0),"",($Z47-$AA47)/$Z47)</f>
      </c>
      <c r="AC47" s="8"/>
      <c r="AD47" s="11"/>
      <c r="AE47" s="8"/>
      <c r="AF47" s="8"/>
      <c r="AG47" s="8"/>
      <c r="AH47" s="11"/>
      <c r="AI47" s="10"/>
      <c r="AJ47" s="8"/>
      <c r="AK47" s="11"/>
      <c r="AL47" s="8">
        <f>IF($H47="","",IFERROR(VLOOKUP($H47,Справочники!$A$8:$B$22,2,0),""))</f>
      </c>
      <c r="AM47" s="8">
        <f>IF($AE47&lt;&gt;"",$AE47,IF(OR($H47="Выиграна",$H47="Договор заключён",$H47="Договор исполняется",$H47="Исполнен/закрыт"),"Выиграна",IF($H47="Проиграна","Проиграна",IF($H47="Отменена заказчиком","Отменена заказчиком",""))))</f>
      </c>
    </row>
    <row r="48" ht="18" customHeight="1" spans="1:39" x14ac:dyDescent="0.25">
      <c r="A48" s="7">
        <f>IF(COUNTA($B48:$K48)=0,"",COUNT($A$2:A47)+1)</f>
      </c>
      <c r="B48" s="8"/>
      <c r="C48" s="8"/>
      <c r="D48" s="8"/>
      <c r="E48" s="9"/>
      <c r="F48" s="10"/>
      <c r="G48" s="11"/>
      <c r="H48" s="8"/>
      <c r="I48" s="8"/>
      <c r="J48" s="8"/>
      <c r="K48" s="8"/>
      <c r="L48" s="8"/>
      <c r="M48" s="8"/>
      <c r="N48" s="12"/>
      <c r="O48" s="10">
        <f>IF($N48="","",IF($M48="Доллары",$N48*Справочники!$B$4,$N48))</f>
      </c>
      <c r="P48" s="8"/>
      <c r="Q48" s="8"/>
      <c r="R48" s="8"/>
      <c r="S48" s="10"/>
      <c r="T48" s="8"/>
      <c r="U48" s="8"/>
      <c r="V48" s="8"/>
      <c r="W48" s="11"/>
      <c r="X48" s="8"/>
      <c r="Y48" s="11"/>
      <c r="Z48" s="10"/>
      <c r="AA48" s="10"/>
      <c r="AB48" s="13">
        <f>IF(OR($Z48="",$AA48="",$Z48=0),"",($Z48-$AA48)/$Z48)</f>
      </c>
      <c r="AC48" s="8"/>
      <c r="AD48" s="11"/>
      <c r="AE48" s="8"/>
      <c r="AF48" s="8"/>
      <c r="AG48" s="8"/>
      <c r="AH48" s="11"/>
      <c r="AI48" s="10"/>
      <c r="AJ48" s="8"/>
      <c r="AK48" s="11"/>
      <c r="AL48" s="8">
        <f>IF($H48="","",IFERROR(VLOOKUP($H48,Справочники!$A$8:$B$22,2,0),""))</f>
      </c>
      <c r="AM48" s="8">
        <f>IF($AE48&lt;&gt;"",$AE48,IF(OR($H48="Выиграна",$H48="Договор заключён",$H48="Договор исполняется",$H48="Исполнен/закрыт"),"Выиграна",IF($H48="Проиграна","Проиграна",IF($H48="Отменена заказчиком","Отменена заказчиком",""))))</f>
      </c>
    </row>
    <row r="49" ht="18" customHeight="1" spans="1:39" x14ac:dyDescent="0.25">
      <c r="A49" s="7">
        <f>IF(COUNTA($B49:$K49)=0,"",COUNT($A$2:A48)+1)</f>
      </c>
      <c r="B49" s="8"/>
      <c r="C49" s="8"/>
      <c r="D49" s="8"/>
      <c r="E49" s="9"/>
      <c r="F49" s="10"/>
      <c r="G49" s="11"/>
      <c r="H49" s="8"/>
      <c r="I49" s="8"/>
      <c r="J49" s="8"/>
      <c r="K49" s="8"/>
      <c r="L49" s="8"/>
      <c r="M49" s="8"/>
      <c r="N49" s="12"/>
      <c r="O49" s="10">
        <f>IF($N49="","",IF($M49="Доллары",$N49*Справочники!$B$4,$N49))</f>
      </c>
      <c r="P49" s="8"/>
      <c r="Q49" s="8"/>
      <c r="R49" s="8"/>
      <c r="S49" s="10"/>
      <c r="T49" s="8"/>
      <c r="U49" s="8"/>
      <c r="V49" s="8"/>
      <c r="W49" s="11"/>
      <c r="X49" s="8"/>
      <c r="Y49" s="11"/>
      <c r="Z49" s="10"/>
      <c r="AA49" s="10"/>
      <c r="AB49" s="13">
        <f>IF(OR($Z49="",$AA49="",$Z49=0),"",($Z49-$AA49)/$Z49)</f>
      </c>
      <c r="AC49" s="8"/>
      <c r="AD49" s="11"/>
      <c r="AE49" s="8"/>
      <c r="AF49" s="8"/>
      <c r="AG49" s="8"/>
      <c r="AH49" s="11"/>
      <c r="AI49" s="10"/>
      <c r="AJ49" s="8"/>
      <c r="AK49" s="11"/>
      <c r="AL49" s="8">
        <f>IF($H49="","",IFERROR(VLOOKUP($H49,Справочники!$A$8:$B$22,2,0),""))</f>
      </c>
      <c r="AM49" s="8">
        <f>IF($AE49&lt;&gt;"",$AE49,IF(OR($H49="Выиграна",$H49="Договор заключён",$H49="Договор исполняется",$H49="Исполнен/закрыт"),"Выиграна",IF($H49="Проиграна","Проиграна",IF($H49="Отменена заказчиком","Отменена заказчиком",""))))</f>
      </c>
    </row>
    <row r="50" ht="18" customHeight="1" spans="1:39" x14ac:dyDescent="0.25">
      <c r="A50" s="7">
        <f>IF(COUNTA($B50:$K50)=0,"",COUNT($A$2:A49)+1)</f>
      </c>
      <c r="B50" s="8"/>
      <c r="C50" s="8"/>
      <c r="D50" s="8"/>
      <c r="E50" s="9"/>
      <c r="F50" s="10"/>
      <c r="G50" s="11"/>
      <c r="H50" s="8"/>
      <c r="I50" s="8"/>
      <c r="J50" s="8"/>
      <c r="K50" s="8"/>
      <c r="L50" s="8"/>
      <c r="M50" s="8"/>
      <c r="N50" s="12"/>
      <c r="O50" s="10">
        <f>IF($N50="","",IF($M50="Доллары",$N50*Справочники!$B$4,$N50))</f>
      </c>
      <c r="P50" s="8"/>
      <c r="Q50" s="8"/>
      <c r="R50" s="8"/>
      <c r="S50" s="10"/>
      <c r="T50" s="8"/>
      <c r="U50" s="8"/>
      <c r="V50" s="8"/>
      <c r="W50" s="11"/>
      <c r="X50" s="8"/>
      <c r="Y50" s="11"/>
      <c r="Z50" s="10"/>
      <c r="AA50" s="10"/>
      <c r="AB50" s="13">
        <f>IF(OR($Z50="",$AA50="",$Z50=0),"",($Z50-$AA50)/$Z50)</f>
      </c>
      <c r="AC50" s="8"/>
      <c r="AD50" s="11"/>
      <c r="AE50" s="8"/>
      <c r="AF50" s="8"/>
      <c r="AG50" s="8"/>
      <c r="AH50" s="11"/>
      <c r="AI50" s="10"/>
      <c r="AJ50" s="8"/>
      <c r="AK50" s="11"/>
      <c r="AL50" s="8">
        <f>IF($H50="","",IFERROR(VLOOKUP($H50,Справочники!$A$8:$B$22,2,0),""))</f>
      </c>
      <c r="AM50" s="8">
        <f>IF($AE50&lt;&gt;"",$AE50,IF(OR($H50="Выиграна",$H50="Договор заключён",$H50="Договор исполняется",$H50="Исполнен/закрыт"),"Выиграна",IF($H50="Проиграна","Проиграна",IF($H50="Отменена заказчиком","Отменена заказчиком",""))))</f>
      </c>
    </row>
    <row r="51" ht="18" customHeight="1" spans="1:39" x14ac:dyDescent="0.25">
      <c r="A51" s="7">
        <f>IF(COUNTA($B51:$K51)=0,"",COUNT($A$2:A50)+1)</f>
      </c>
      <c r="B51" s="8"/>
      <c r="C51" s="8"/>
      <c r="D51" s="8"/>
      <c r="E51" s="9"/>
      <c r="F51" s="10"/>
      <c r="G51" s="11"/>
      <c r="H51" s="8"/>
      <c r="I51" s="8"/>
      <c r="J51" s="8"/>
      <c r="K51" s="8"/>
      <c r="L51" s="8"/>
      <c r="M51" s="8"/>
      <c r="N51" s="12"/>
      <c r="O51" s="10">
        <f>IF($N51="","",IF($M51="Доллары",$N51*Справочники!$B$4,$N51))</f>
      </c>
      <c r="P51" s="8"/>
      <c r="Q51" s="8"/>
      <c r="R51" s="8"/>
      <c r="S51" s="10"/>
      <c r="T51" s="8"/>
      <c r="U51" s="8"/>
      <c r="V51" s="8"/>
      <c r="W51" s="11"/>
      <c r="X51" s="8"/>
      <c r="Y51" s="11"/>
      <c r="Z51" s="10"/>
      <c r="AA51" s="10"/>
      <c r="AB51" s="13">
        <f>IF(OR($Z51="",$AA51="",$Z51=0),"",($Z51-$AA51)/$Z51)</f>
      </c>
      <c r="AC51" s="8"/>
      <c r="AD51" s="11"/>
      <c r="AE51" s="8"/>
      <c r="AF51" s="8"/>
      <c r="AG51" s="8"/>
      <c r="AH51" s="11"/>
      <c r="AI51" s="10"/>
      <c r="AJ51" s="8"/>
      <c r="AK51" s="11"/>
      <c r="AL51" s="8">
        <f>IF($H51="","",IFERROR(VLOOKUP($H51,Справочники!$A$8:$B$22,2,0),""))</f>
      </c>
      <c r="AM51" s="8">
        <f>IF($AE51&lt;&gt;"",$AE51,IF(OR($H51="Выиграна",$H51="Договор заключён",$H51="Договор исполняется",$H51="Исполнен/закрыт"),"Выиграна",IF($H51="Проиграна","Проиграна",IF($H51="Отменена заказчиком","Отменена заказчиком",""))))</f>
      </c>
    </row>
    <row r="52" ht="18" customHeight="1" spans="1:39" x14ac:dyDescent="0.25">
      <c r="A52" s="7">
        <f>IF(COUNTA($B52:$K52)=0,"",COUNT($A$2:A51)+1)</f>
      </c>
      <c r="B52" s="8"/>
      <c r="C52" s="8"/>
      <c r="D52" s="8"/>
      <c r="E52" s="9"/>
      <c r="F52" s="10"/>
      <c r="G52" s="11"/>
      <c r="H52" s="8"/>
      <c r="I52" s="8"/>
      <c r="J52" s="8"/>
      <c r="K52" s="8"/>
      <c r="L52" s="8"/>
      <c r="M52" s="8"/>
      <c r="N52" s="12"/>
      <c r="O52" s="10">
        <f>IF($N52="","",IF($M52="Доллары",$N52*Справочники!$B$4,$N52))</f>
      </c>
      <c r="P52" s="8"/>
      <c r="Q52" s="8"/>
      <c r="R52" s="8"/>
      <c r="S52" s="10"/>
      <c r="T52" s="8"/>
      <c r="U52" s="8"/>
      <c r="V52" s="8"/>
      <c r="W52" s="11"/>
      <c r="X52" s="8"/>
      <c r="Y52" s="11"/>
      <c r="Z52" s="10"/>
      <c r="AA52" s="10"/>
      <c r="AB52" s="13">
        <f>IF(OR($Z52="",$AA52="",$Z52=0),"",($Z52-$AA52)/$Z52)</f>
      </c>
      <c r="AC52" s="8"/>
      <c r="AD52" s="11"/>
      <c r="AE52" s="8"/>
      <c r="AF52" s="8"/>
      <c r="AG52" s="8"/>
      <c r="AH52" s="11"/>
      <c r="AI52" s="10"/>
      <c r="AJ52" s="8"/>
      <c r="AK52" s="11"/>
      <c r="AL52" s="8">
        <f>IF($H52="","",IFERROR(VLOOKUP($H52,Справочники!$A$8:$B$22,2,0),""))</f>
      </c>
      <c r="AM52" s="8">
        <f>IF($AE52&lt;&gt;"",$AE52,IF(OR($H52="Выиграна",$H52="Договор заключён",$H52="Договор исполняется",$H52="Исполнен/закрыт"),"Выиграна",IF($H52="Проиграна","Проиграна",IF($H52="Отменена заказчиком","Отменена заказчиком",""))))</f>
      </c>
    </row>
    <row r="53" ht="18" customHeight="1" spans="1:39" x14ac:dyDescent="0.25">
      <c r="A53" s="7">
        <f>IF(COUNTA($B53:$K53)=0,"",COUNT($A$2:A52)+1)</f>
      </c>
      <c r="B53" s="8"/>
      <c r="C53" s="8"/>
      <c r="D53" s="8"/>
      <c r="E53" s="9"/>
      <c r="F53" s="10"/>
      <c r="G53" s="11"/>
      <c r="H53" s="8"/>
      <c r="I53" s="8"/>
      <c r="J53" s="8"/>
      <c r="K53" s="8"/>
      <c r="L53" s="8"/>
      <c r="M53" s="8"/>
      <c r="N53" s="12"/>
      <c r="O53" s="10">
        <f>IF($N53="","",IF($M53="Доллары",$N53*Справочники!$B$4,$N53))</f>
      </c>
      <c r="P53" s="8"/>
      <c r="Q53" s="8"/>
      <c r="R53" s="8"/>
      <c r="S53" s="10"/>
      <c r="T53" s="8"/>
      <c r="U53" s="8"/>
      <c r="V53" s="8"/>
      <c r="W53" s="11"/>
      <c r="X53" s="8"/>
      <c r="Y53" s="11"/>
      <c r="Z53" s="10"/>
      <c r="AA53" s="10"/>
      <c r="AB53" s="13">
        <f>IF(OR($Z53="",$AA53="",$Z53=0),"",($Z53-$AA53)/$Z53)</f>
      </c>
      <c r="AC53" s="8"/>
      <c r="AD53" s="11"/>
      <c r="AE53" s="8"/>
      <c r="AF53" s="8"/>
      <c r="AG53" s="8"/>
      <c r="AH53" s="11"/>
      <c r="AI53" s="10"/>
      <c r="AJ53" s="8"/>
      <c r="AK53" s="11"/>
      <c r="AL53" s="8">
        <f>IF($H53="","",IFERROR(VLOOKUP($H53,Справочники!$A$8:$B$22,2,0),""))</f>
      </c>
      <c r="AM53" s="8">
        <f>IF($AE53&lt;&gt;"",$AE53,IF(OR($H53="Выиграна",$H53="Договор заключён",$H53="Договор исполняется",$H53="Исполнен/закрыт"),"Выиграна",IF($H53="Проиграна","Проиграна",IF($H53="Отменена заказчиком","Отменена заказчиком",""))))</f>
      </c>
    </row>
    <row r="54" ht="18" customHeight="1" spans="1:39" x14ac:dyDescent="0.25">
      <c r="A54" s="7">
        <f>IF(COUNTA($B54:$K54)=0,"",COUNT($A$2:A53)+1)</f>
      </c>
      <c r="B54" s="8"/>
      <c r="C54" s="8"/>
      <c r="D54" s="8"/>
      <c r="E54" s="9"/>
      <c r="F54" s="10"/>
      <c r="G54" s="11"/>
      <c r="H54" s="8"/>
      <c r="I54" s="8"/>
      <c r="J54" s="8"/>
      <c r="K54" s="8"/>
      <c r="L54" s="8"/>
      <c r="M54" s="8"/>
      <c r="N54" s="12"/>
      <c r="O54" s="10">
        <f>IF($N54="","",IF($M54="Доллары",$N54*Справочники!$B$4,$N54))</f>
      </c>
      <c r="P54" s="8"/>
      <c r="Q54" s="8"/>
      <c r="R54" s="8"/>
      <c r="S54" s="10"/>
      <c r="T54" s="8"/>
      <c r="U54" s="8"/>
      <c r="V54" s="8"/>
      <c r="W54" s="11"/>
      <c r="X54" s="8"/>
      <c r="Y54" s="11"/>
      <c r="Z54" s="10"/>
      <c r="AA54" s="10"/>
      <c r="AB54" s="13">
        <f>IF(OR($Z54="",$AA54="",$Z54=0),"",($Z54-$AA54)/$Z54)</f>
      </c>
      <c r="AC54" s="8"/>
      <c r="AD54" s="11"/>
      <c r="AE54" s="8"/>
      <c r="AF54" s="8"/>
      <c r="AG54" s="8"/>
      <c r="AH54" s="11"/>
      <c r="AI54" s="10"/>
      <c r="AJ54" s="8"/>
      <c r="AK54" s="11"/>
      <c r="AL54" s="8">
        <f>IF($H54="","",IFERROR(VLOOKUP($H54,Справочники!$A$8:$B$22,2,0),""))</f>
      </c>
      <c r="AM54" s="8">
        <f>IF($AE54&lt;&gt;"",$AE54,IF(OR($H54="Выиграна",$H54="Договор заключён",$H54="Договор исполняется",$H54="Исполнен/закрыт"),"Выиграна",IF($H54="Проиграна","Проиграна",IF($H54="Отменена заказчиком","Отменена заказчиком",""))))</f>
      </c>
    </row>
    <row r="55" ht="18" customHeight="1" spans="1:39" x14ac:dyDescent="0.25">
      <c r="A55" s="7">
        <f>IF(COUNTA($B55:$K55)=0,"",COUNT($A$2:A54)+1)</f>
      </c>
      <c r="B55" s="8"/>
      <c r="C55" s="8"/>
      <c r="D55" s="8"/>
      <c r="E55" s="9"/>
      <c r="F55" s="10"/>
      <c r="G55" s="11"/>
      <c r="H55" s="8"/>
      <c r="I55" s="8"/>
      <c r="J55" s="8"/>
      <c r="K55" s="8"/>
      <c r="L55" s="8"/>
      <c r="M55" s="8"/>
      <c r="N55" s="12"/>
      <c r="O55" s="10">
        <f>IF($N55="","",IF($M55="Доллары",$N55*Справочники!$B$4,$N55))</f>
      </c>
      <c r="P55" s="8"/>
      <c r="Q55" s="8"/>
      <c r="R55" s="8"/>
      <c r="S55" s="10"/>
      <c r="T55" s="8"/>
      <c r="U55" s="8"/>
      <c r="V55" s="8"/>
      <c r="W55" s="11"/>
      <c r="X55" s="8"/>
      <c r="Y55" s="11"/>
      <c r="Z55" s="10"/>
      <c r="AA55" s="10"/>
      <c r="AB55" s="13">
        <f>IF(OR($Z55="",$AA55="",$Z55=0),"",($Z55-$AA55)/$Z55)</f>
      </c>
      <c r="AC55" s="8"/>
      <c r="AD55" s="11"/>
      <c r="AE55" s="8"/>
      <c r="AF55" s="8"/>
      <c r="AG55" s="8"/>
      <c r="AH55" s="11"/>
      <c r="AI55" s="10"/>
      <c r="AJ55" s="8"/>
      <c r="AK55" s="11"/>
      <c r="AL55" s="8">
        <f>IF($H55="","",IFERROR(VLOOKUP($H55,Справочники!$A$8:$B$22,2,0),""))</f>
      </c>
      <c r="AM55" s="8">
        <f>IF($AE55&lt;&gt;"",$AE55,IF(OR($H55="Выиграна",$H55="Договор заключён",$H55="Договор исполняется",$H55="Исполнен/закрыт"),"Выиграна",IF($H55="Проиграна","Проиграна",IF($H55="Отменена заказчиком","Отменена заказчиком",""))))</f>
      </c>
    </row>
    <row r="56" ht="18" customHeight="1" spans="1:39" x14ac:dyDescent="0.25">
      <c r="A56" s="7">
        <f>IF(COUNTA($B56:$K56)=0,"",COUNT($A$2:A55)+1)</f>
      </c>
      <c r="B56" s="8"/>
      <c r="C56" s="8"/>
      <c r="D56" s="8"/>
      <c r="E56" s="9"/>
      <c r="F56" s="10"/>
      <c r="G56" s="11"/>
      <c r="H56" s="8"/>
      <c r="I56" s="8"/>
      <c r="J56" s="8"/>
      <c r="K56" s="8"/>
      <c r="L56" s="8"/>
      <c r="M56" s="8"/>
      <c r="N56" s="12"/>
      <c r="O56" s="10">
        <f>IF($N56="","",IF($M56="Доллары",$N56*Справочники!$B$4,$N56))</f>
      </c>
      <c r="P56" s="8"/>
      <c r="Q56" s="8"/>
      <c r="R56" s="8"/>
      <c r="S56" s="10"/>
      <c r="T56" s="8"/>
      <c r="U56" s="8"/>
      <c r="V56" s="8"/>
      <c r="W56" s="11"/>
      <c r="X56" s="8"/>
      <c r="Y56" s="11"/>
      <c r="Z56" s="10"/>
      <c r="AA56" s="10"/>
      <c r="AB56" s="13">
        <f>IF(OR($Z56="",$AA56="",$Z56=0),"",($Z56-$AA56)/$Z56)</f>
      </c>
      <c r="AC56" s="8"/>
      <c r="AD56" s="11"/>
      <c r="AE56" s="8"/>
      <c r="AF56" s="8"/>
      <c r="AG56" s="8"/>
      <c r="AH56" s="11"/>
      <c r="AI56" s="10"/>
      <c r="AJ56" s="8"/>
      <c r="AK56" s="11"/>
      <c r="AL56" s="8">
        <f>IF($H56="","",IFERROR(VLOOKUP($H56,Справочники!$A$8:$B$22,2,0),""))</f>
      </c>
      <c r="AM56" s="8">
        <f>IF($AE56&lt;&gt;"",$AE56,IF(OR($H56="Выиграна",$H56="Договор заключён",$H56="Договор исполняется",$H56="Исполнен/закрыт"),"Выиграна",IF($H56="Проиграна","Проиграна",IF($H56="Отменена заказчиком","Отменена заказчиком",""))))</f>
      </c>
    </row>
    <row r="57" ht="18" customHeight="1" spans="1:39" x14ac:dyDescent="0.25">
      <c r="A57" s="7">
        <f>IF(COUNTA($B57:$K57)=0,"",COUNT($A$2:A56)+1)</f>
      </c>
      <c r="B57" s="8"/>
      <c r="C57" s="8"/>
      <c r="D57" s="8"/>
      <c r="E57" s="9"/>
      <c r="F57" s="10"/>
      <c r="G57" s="11"/>
      <c r="H57" s="8"/>
      <c r="I57" s="8"/>
      <c r="J57" s="8"/>
      <c r="K57" s="8"/>
      <c r="L57" s="8"/>
      <c r="M57" s="8"/>
      <c r="N57" s="12"/>
      <c r="O57" s="10">
        <f>IF($N57="","",IF($M57="Доллары",$N57*Справочники!$B$4,$N57))</f>
      </c>
      <c r="P57" s="8"/>
      <c r="Q57" s="8"/>
      <c r="R57" s="8"/>
      <c r="S57" s="10"/>
      <c r="T57" s="8"/>
      <c r="U57" s="8"/>
      <c r="V57" s="8"/>
      <c r="W57" s="11"/>
      <c r="X57" s="8"/>
      <c r="Y57" s="11"/>
      <c r="Z57" s="10"/>
      <c r="AA57" s="10"/>
      <c r="AB57" s="13">
        <f>IF(OR($Z57="",$AA57="",$Z57=0),"",($Z57-$AA57)/$Z57)</f>
      </c>
      <c r="AC57" s="8"/>
      <c r="AD57" s="11"/>
      <c r="AE57" s="8"/>
      <c r="AF57" s="8"/>
      <c r="AG57" s="8"/>
      <c r="AH57" s="11"/>
      <c r="AI57" s="10"/>
      <c r="AJ57" s="8"/>
      <c r="AK57" s="11"/>
      <c r="AL57" s="8">
        <f>IF($H57="","",IFERROR(VLOOKUP($H57,Справочники!$A$8:$B$22,2,0),""))</f>
      </c>
      <c r="AM57" s="8">
        <f>IF($AE57&lt;&gt;"",$AE57,IF(OR($H57="Выиграна",$H57="Договор заключён",$H57="Договор исполняется",$H57="Исполнен/закрыт"),"Выиграна",IF($H57="Проиграна","Проиграна",IF($H57="Отменена заказчиком","Отменена заказчиком",""))))</f>
      </c>
    </row>
    <row r="58" ht="18" customHeight="1" spans="1:39" x14ac:dyDescent="0.25">
      <c r="A58" s="7">
        <f>IF(COUNTA($B58:$K58)=0,"",COUNT($A$2:A57)+1)</f>
      </c>
      <c r="B58" s="8"/>
      <c r="C58" s="8"/>
      <c r="D58" s="8"/>
      <c r="E58" s="9"/>
      <c r="F58" s="10"/>
      <c r="G58" s="11"/>
      <c r="H58" s="8"/>
      <c r="I58" s="8"/>
      <c r="J58" s="8"/>
      <c r="K58" s="8"/>
      <c r="L58" s="8"/>
      <c r="M58" s="8"/>
      <c r="N58" s="12"/>
      <c r="O58" s="10">
        <f>IF($N58="","",IF($M58="Доллары",$N58*Справочники!$B$4,$N58))</f>
      </c>
      <c r="P58" s="8"/>
      <c r="Q58" s="8"/>
      <c r="R58" s="8"/>
      <c r="S58" s="10"/>
      <c r="T58" s="8"/>
      <c r="U58" s="8"/>
      <c r="V58" s="8"/>
      <c r="W58" s="11"/>
      <c r="X58" s="8"/>
      <c r="Y58" s="11"/>
      <c r="Z58" s="10"/>
      <c r="AA58" s="10"/>
      <c r="AB58" s="13">
        <f>IF(OR($Z58="",$AA58="",$Z58=0),"",($Z58-$AA58)/$Z58)</f>
      </c>
      <c r="AC58" s="8"/>
      <c r="AD58" s="11"/>
      <c r="AE58" s="8"/>
      <c r="AF58" s="8"/>
      <c r="AG58" s="8"/>
      <c r="AH58" s="11"/>
      <c r="AI58" s="10"/>
      <c r="AJ58" s="8"/>
      <c r="AK58" s="11"/>
      <c r="AL58" s="8">
        <f>IF($H58="","",IFERROR(VLOOKUP($H58,Справочники!$A$8:$B$22,2,0),""))</f>
      </c>
      <c r="AM58" s="8">
        <f>IF($AE58&lt;&gt;"",$AE58,IF(OR($H58="Выиграна",$H58="Договор заключён",$H58="Договор исполняется",$H58="Исполнен/закрыт"),"Выиграна",IF($H58="Проиграна","Проиграна",IF($H58="Отменена заказчиком","Отменена заказчиком",""))))</f>
      </c>
    </row>
    <row r="59" ht="18" customHeight="1" spans="1:39" x14ac:dyDescent="0.25">
      <c r="A59" s="7">
        <f>IF(COUNTA($B59:$K59)=0,"",COUNT($A$2:A58)+1)</f>
      </c>
      <c r="B59" s="8"/>
      <c r="C59" s="8"/>
      <c r="D59" s="8"/>
      <c r="E59" s="9"/>
      <c r="F59" s="10"/>
      <c r="G59" s="11"/>
      <c r="H59" s="8"/>
      <c r="I59" s="8"/>
      <c r="J59" s="8"/>
      <c r="K59" s="8"/>
      <c r="L59" s="8"/>
      <c r="M59" s="8"/>
      <c r="N59" s="12"/>
      <c r="O59" s="10">
        <f>IF($N59="","",IF($M59="Доллары",$N59*Справочники!$B$4,$N59))</f>
      </c>
      <c r="P59" s="8"/>
      <c r="Q59" s="8"/>
      <c r="R59" s="8"/>
      <c r="S59" s="10"/>
      <c r="T59" s="8"/>
      <c r="U59" s="8"/>
      <c r="V59" s="8"/>
      <c r="W59" s="11"/>
      <c r="X59" s="8"/>
      <c r="Y59" s="11"/>
      <c r="Z59" s="10"/>
      <c r="AA59" s="10"/>
      <c r="AB59" s="13">
        <f>IF(OR($Z59="",$AA59="",$Z59=0),"",($Z59-$AA59)/$Z59)</f>
      </c>
      <c r="AC59" s="8"/>
      <c r="AD59" s="11"/>
      <c r="AE59" s="8"/>
      <c r="AF59" s="8"/>
      <c r="AG59" s="8"/>
      <c r="AH59" s="11"/>
      <c r="AI59" s="10"/>
      <c r="AJ59" s="8"/>
      <c r="AK59" s="11"/>
      <c r="AL59" s="8">
        <f>IF($H59="","",IFERROR(VLOOKUP($H59,Справочники!$A$8:$B$22,2,0),""))</f>
      </c>
      <c r="AM59" s="8">
        <f>IF($AE59&lt;&gt;"",$AE59,IF(OR($H59="Выиграна",$H59="Договор заключён",$H59="Договор исполняется",$H59="Исполнен/закрыт"),"Выиграна",IF($H59="Проиграна","Проиграна",IF($H59="Отменена заказчиком","Отменена заказчиком",""))))</f>
      </c>
    </row>
    <row r="60" ht="18" customHeight="1" spans="1:39" x14ac:dyDescent="0.25">
      <c r="A60" s="7">
        <f>IF(COUNTA($B60:$K60)=0,"",COUNT($A$2:A59)+1)</f>
      </c>
      <c r="B60" s="8"/>
      <c r="C60" s="8"/>
      <c r="D60" s="8"/>
      <c r="E60" s="9"/>
      <c r="F60" s="10"/>
      <c r="G60" s="11"/>
      <c r="H60" s="8"/>
      <c r="I60" s="8"/>
      <c r="J60" s="8"/>
      <c r="K60" s="8"/>
      <c r="L60" s="8"/>
      <c r="M60" s="8"/>
      <c r="N60" s="12"/>
      <c r="O60" s="10">
        <f>IF($N60="","",IF($M60="Доллары",$N60*Справочники!$B$4,$N60))</f>
      </c>
      <c r="P60" s="8"/>
      <c r="Q60" s="8"/>
      <c r="R60" s="8"/>
      <c r="S60" s="10"/>
      <c r="T60" s="8"/>
      <c r="U60" s="8"/>
      <c r="V60" s="8"/>
      <c r="W60" s="11"/>
      <c r="X60" s="8"/>
      <c r="Y60" s="11"/>
      <c r="Z60" s="10"/>
      <c r="AA60" s="10"/>
      <c r="AB60" s="13">
        <f>IF(OR($Z60="",$AA60="",$Z60=0),"",($Z60-$AA60)/$Z60)</f>
      </c>
      <c r="AC60" s="8"/>
      <c r="AD60" s="11"/>
      <c r="AE60" s="8"/>
      <c r="AF60" s="8"/>
      <c r="AG60" s="8"/>
      <c r="AH60" s="11"/>
      <c r="AI60" s="10"/>
      <c r="AJ60" s="8"/>
      <c r="AK60" s="11"/>
      <c r="AL60" s="8">
        <f>IF($H60="","",IFERROR(VLOOKUP($H60,Справочники!$A$8:$B$22,2,0),""))</f>
      </c>
      <c r="AM60" s="8">
        <f>IF($AE60&lt;&gt;"",$AE60,IF(OR($H60="Выиграна",$H60="Договор заключён",$H60="Договор исполняется",$H60="Исполнен/закрыт"),"Выиграна",IF($H60="Проиграна","Проиграна",IF($H60="Отменена заказчиком","Отменена заказчиком",""))))</f>
      </c>
    </row>
    <row r="61" ht="18" customHeight="1" spans="1:39" x14ac:dyDescent="0.25">
      <c r="A61" s="7">
        <f>IF(COUNTA($B61:$K61)=0,"",COUNT($A$2:A60)+1)</f>
      </c>
      <c r="B61" s="8"/>
      <c r="C61" s="8"/>
      <c r="D61" s="8"/>
      <c r="E61" s="9"/>
      <c r="F61" s="10"/>
      <c r="G61" s="11"/>
      <c r="H61" s="8"/>
      <c r="I61" s="8"/>
      <c r="J61" s="8"/>
      <c r="K61" s="8"/>
      <c r="L61" s="8"/>
      <c r="M61" s="8"/>
      <c r="N61" s="12"/>
      <c r="O61" s="10">
        <f>IF($N61="","",IF($M61="Доллары",$N61*Справочники!$B$4,$N61))</f>
      </c>
      <c r="P61" s="8"/>
      <c r="Q61" s="8"/>
      <c r="R61" s="8"/>
      <c r="S61" s="10"/>
      <c r="T61" s="8"/>
      <c r="U61" s="8"/>
      <c r="V61" s="8"/>
      <c r="W61" s="11"/>
      <c r="X61" s="8"/>
      <c r="Y61" s="11"/>
      <c r="Z61" s="10"/>
      <c r="AA61" s="10"/>
      <c r="AB61" s="13">
        <f>IF(OR($Z61="",$AA61="",$Z61=0),"",($Z61-$AA61)/$Z61)</f>
      </c>
      <c r="AC61" s="8"/>
      <c r="AD61" s="11"/>
      <c r="AE61" s="8"/>
      <c r="AF61" s="8"/>
      <c r="AG61" s="8"/>
      <c r="AH61" s="11"/>
      <c r="AI61" s="10"/>
      <c r="AJ61" s="8"/>
      <c r="AK61" s="11"/>
      <c r="AL61" s="8">
        <f>IF($H61="","",IFERROR(VLOOKUP($H61,Справочники!$A$8:$B$22,2,0),""))</f>
      </c>
      <c r="AM61" s="8">
        <f>IF($AE61&lt;&gt;"",$AE61,IF(OR($H61="Выиграна",$H61="Договор заключён",$H61="Договор исполняется",$H61="Исполнен/закрыт"),"Выиграна",IF($H61="Проиграна","Проиграна",IF($H61="Отменена заказчиком","Отменена заказчиком",""))))</f>
      </c>
    </row>
    <row r="62" ht="18" customHeight="1" spans="1:39" x14ac:dyDescent="0.25">
      <c r="A62" s="7">
        <f>IF(COUNTA($B62:$K62)=0,"",COUNT($A$2:A61)+1)</f>
      </c>
      <c r="B62" s="8"/>
      <c r="C62" s="8"/>
      <c r="D62" s="8"/>
      <c r="E62" s="9"/>
      <c r="F62" s="10"/>
      <c r="G62" s="11"/>
      <c r="H62" s="8"/>
      <c r="I62" s="8"/>
      <c r="J62" s="8"/>
      <c r="K62" s="8"/>
      <c r="L62" s="8"/>
      <c r="M62" s="8"/>
      <c r="N62" s="12"/>
      <c r="O62" s="10">
        <f>IF($N62="","",IF($M62="Доллары",$N62*Справочники!$B$4,$N62))</f>
      </c>
      <c r="P62" s="8"/>
      <c r="Q62" s="8"/>
      <c r="R62" s="8"/>
      <c r="S62" s="10"/>
      <c r="T62" s="8"/>
      <c r="U62" s="8"/>
      <c r="V62" s="8"/>
      <c r="W62" s="11"/>
      <c r="X62" s="8"/>
      <c r="Y62" s="11"/>
      <c r="Z62" s="10"/>
      <c r="AA62" s="10"/>
      <c r="AB62" s="13">
        <f>IF(OR($Z62="",$AA62="",$Z62=0),"",($Z62-$AA62)/$Z62)</f>
      </c>
      <c r="AC62" s="8"/>
      <c r="AD62" s="11"/>
      <c r="AE62" s="8"/>
      <c r="AF62" s="8"/>
      <c r="AG62" s="8"/>
      <c r="AH62" s="11"/>
      <c r="AI62" s="10"/>
      <c r="AJ62" s="8"/>
      <c r="AK62" s="11"/>
      <c r="AL62" s="8">
        <f>IF($H62="","",IFERROR(VLOOKUP($H62,Справочники!$A$8:$B$22,2,0),""))</f>
      </c>
      <c r="AM62" s="8">
        <f>IF($AE62&lt;&gt;"",$AE62,IF(OR($H62="Выиграна",$H62="Договор заключён",$H62="Договор исполняется",$H62="Исполнен/закрыт"),"Выиграна",IF($H62="Проиграна","Проиграна",IF($H62="Отменена заказчиком","Отменена заказчиком",""))))</f>
      </c>
    </row>
    <row r="63" ht="18" customHeight="1" spans="1:39" x14ac:dyDescent="0.25">
      <c r="A63" s="7">
        <f>IF(COUNTA($B63:$K63)=0,"",COUNT($A$2:A62)+1)</f>
      </c>
      <c r="B63" s="8"/>
      <c r="C63" s="8"/>
      <c r="D63" s="8"/>
      <c r="E63" s="9"/>
      <c r="F63" s="10"/>
      <c r="G63" s="11"/>
      <c r="H63" s="8"/>
      <c r="I63" s="8"/>
      <c r="J63" s="8"/>
      <c r="K63" s="8"/>
      <c r="L63" s="8"/>
      <c r="M63" s="8"/>
      <c r="N63" s="12"/>
      <c r="O63" s="10">
        <f>IF($N63="","",IF($M63="Доллары",$N63*Справочники!$B$4,$N63))</f>
      </c>
      <c r="P63" s="8"/>
      <c r="Q63" s="8"/>
      <c r="R63" s="8"/>
      <c r="S63" s="10"/>
      <c r="T63" s="8"/>
      <c r="U63" s="8"/>
      <c r="V63" s="8"/>
      <c r="W63" s="11"/>
      <c r="X63" s="8"/>
      <c r="Y63" s="11"/>
      <c r="Z63" s="10"/>
      <c r="AA63" s="10"/>
      <c r="AB63" s="13">
        <f>IF(OR($Z63="",$AA63="",$Z63=0),"",($Z63-$AA63)/$Z63)</f>
      </c>
      <c r="AC63" s="8"/>
      <c r="AD63" s="11"/>
      <c r="AE63" s="8"/>
      <c r="AF63" s="8"/>
      <c r="AG63" s="8"/>
      <c r="AH63" s="11"/>
      <c r="AI63" s="10"/>
      <c r="AJ63" s="8"/>
      <c r="AK63" s="11"/>
      <c r="AL63" s="8">
        <f>IF($H63="","",IFERROR(VLOOKUP($H63,Справочники!$A$8:$B$22,2,0),""))</f>
      </c>
      <c r="AM63" s="8">
        <f>IF($AE63&lt;&gt;"",$AE63,IF(OR($H63="Выиграна",$H63="Договор заключён",$H63="Договор исполняется",$H63="Исполнен/закрыт"),"Выиграна",IF($H63="Проиграна","Проиграна",IF($H63="Отменена заказчиком","Отменена заказчиком",""))))</f>
      </c>
    </row>
    <row r="64" ht="18" customHeight="1" spans="1:39" x14ac:dyDescent="0.25">
      <c r="A64" s="7">
        <f>IF(COUNTA($B64:$K64)=0,"",COUNT($A$2:A63)+1)</f>
      </c>
      <c r="B64" s="8"/>
      <c r="C64" s="8"/>
      <c r="D64" s="8"/>
      <c r="E64" s="9"/>
      <c r="F64" s="10"/>
      <c r="G64" s="11"/>
      <c r="H64" s="8"/>
      <c r="I64" s="8"/>
      <c r="J64" s="8"/>
      <c r="K64" s="8"/>
      <c r="L64" s="8"/>
      <c r="M64" s="8"/>
      <c r="N64" s="12"/>
      <c r="O64" s="10">
        <f>IF($N64="","",IF($M64="Доллары",$N64*Справочники!$B$4,$N64))</f>
      </c>
      <c r="P64" s="8"/>
      <c r="Q64" s="8"/>
      <c r="R64" s="8"/>
      <c r="S64" s="10"/>
      <c r="T64" s="8"/>
      <c r="U64" s="8"/>
      <c r="V64" s="8"/>
      <c r="W64" s="11"/>
      <c r="X64" s="8"/>
      <c r="Y64" s="11"/>
      <c r="Z64" s="10"/>
      <c r="AA64" s="10"/>
      <c r="AB64" s="13">
        <f>IF(OR($Z64="",$AA64="",$Z64=0),"",($Z64-$AA64)/$Z64)</f>
      </c>
      <c r="AC64" s="8"/>
      <c r="AD64" s="11"/>
      <c r="AE64" s="8"/>
      <c r="AF64" s="8"/>
      <c r="AG64" s="8"/>
      <c r="AH64" s="11"/>
      <c r="AI64" s="10"/>
      <c r="AJ64" s="8"/>
      <c r="AK64" s="11"/>
      <c r="AL64" s="8">
        <f>IF($H64="","",IFERROR(VLOOKUP($H64,Справочники!$A$8:$B$22,2,0),""))</f>
      </c>
      <c r="AM64" s="8">
        <f>IF($AE64&lt;&gt;"",$AE64,IF(OR($H64="Выиграна",$H64="Договор заключён",$H64="Договор исполняется",$H64="Исполнен/закрыт"),"Выиграна",IF($H64="Проиграна","Проиграна",IF($H64="Отменена заказчиком","Отменена заказчиком",""))))</f>
      </c>
    </row>
    <row r="65" ht="18" customHeight="1" spans="1:39" x14ac:dyDescent="0.25">
      <c r="A65" s="7">
        <f>IF(COUNTA($B65:$K65)=0,"",COUNT($A$2:A64)+1)</f>
      </c>
      <c r="B65" s="8"/>
      <c r="C65" s="8"/>
      <c r="D65" s="8"/>
      <c r="E65" s="9"/>
      <c r="F65" s="10"/>
      <c r="G65" s="11"/>
      <c r="H65" s="8"/>
      <c r="I65" s="8"/>
      <c r="J65" s="8"/>
      <c r="K65" s="8"/>
      <c r="L65" s="8"/>
      <c r="M65" s="8"/>
      <c r="N65" s="12"/>
      <c r="O65" s="10">
        <f>IF($N65="","",IF($M65="Доллары",$N65*Справочники!$B$4,$N65))</f>
      </c>
      <c r="P65" s="8"/>
      <c r="Q65" s="8"/>
      <c r="R65" s="8"/>
      <c r="S65" s="10"/>
      <c r="T65" s="8"/>
      <c r="U65" s="8"/>
      <c r="V65" s="8"/>
      <c r="W65" s="11"/>
      <c r="X65" s="8"/>
      <c r="Y65" s="11"/>
      <c r="Z65" s="10"/>
      <c r="AA65" s="10"/>
      <c r="AB65" s="13">
        <f>IF(OR($Z65="",$AA65="",$Z65=0),"",($Z65-$AA65)/$Z65)</f>
      </c>
      <c r="AC65" s="8"/>
      <c r="AD65" s="11"/>
      <c r="AE65" s="8"/>
      <c r="AF65" s="8"/>
      <c r="AG65" s="8"/>
      <c r="AH65" s="11"/>
      <c r="AI65" s="10"/>
      <c r="AJ65" s="8"/>
      <c r="AK65" s="11"/>
      <c r="AL65" s="8">
        <f>IF($H65="","",IFERROR(VLOOKUP($H65,Справочники!$A$8:$B$22,2,0),""))</f>
      </c>
      <c r="AM65" s="8">
        <f>IF($AE65&lt;&gt;"",$AE65,IF(OR($H65="Выиграна",$H65="Договор заключён",$H65="Договор исполняется",$H65="Исполнен/закрыт"),"Выиграна",IF($H65="Проиграна","Проиграна",IF($H65="Отменена заказчиком","Отменена заказчиком",""))))</f>
      </c>
    </row>
    <row r="66" ht="18" customHeight="1" spans="1:39" x14ac:dyDescent="0.25">
      <c r="A66" s="7">
        <f>IF(COUNTA($B66:$K66)=0,"",COUNT($A$2:A65)+1)</f>
      </c>
      <c r="B66" s="8"/>
      <c r="C66" s="8"/>
      <c r="D66" s="8"/>
      <c r="E66" s="9"/>
      <c r="F66" s="10"/>
      <c r="G66" s="11"/>
      <c r="H66" s="8"/>
      <c r="I66" s="8"/>
      <c r="J66" s="8"/>
      <c r="K66" s="8"/>
      <c r="L66" s="8"/>
      <c r="M66" s="8"/>
      <c r="N66" s="12"/>
      <c r="O66" s="10">
        <f>IF($N66="","",IF($M66="Доллары",$N66*Справочники!$B$4,$N66))</f>
      </c>
      <c r="P66" s="8"/>
      <c r="Q66" s="8"/>
      <c r="R66" s="8"/>
      <c r="S66" s="10"/>
      <c r="T66" s="8"/>
      <c r="U66" s="8"/>
      <c r="V66" s="8"/>
      <c r="W66" s="11"/>
      <c r="X66" s="8"/>
      <c r="Y66" s="11"/>
      <c r="Z66" s="10"/>
      <c r="AA66" s="10"/>
      <c r="AB66" s="13">
        <f>IF(OR($Z66="",$AA66="",$Z66=0),"",($Z66-$AA66)/$Z66)</f>
      </c>
      <c r="AC66" s="8"/>
      <c r="AD66" s="11"/>
      <c r="AE66" s="8"/>
      <c r="AF66" s="8"/>
      <c r="AG66" s="8"/>
      <c r="AH66" s="11"/>
      <c r="AI66" s="10"/>
      <c r="AJ66" s="8"/>
      <c r="AK66" s="11"/>
      <c r="AL66" s="8">
        <f>IF($H66="","",IFERROR(VLOOKUP($H66,Справочники!$A$8:$B$22,2,0),""))</f>
      </c>
      <c r="AM66" s="8">
        <f>IF($AE66&lt;&gt;"",$AE66,IF(OR($H66="Выиграна",$H66="Договор заключён",$H66="Договор исполняется",$H66="Исполнен/закрыт"),"Выиграна",IF($H66="Проиграна","Проиграна",IF($H66="Отменена заказчиком","Отменена заказчиком",""))))</f>
      </c>
    </row>
    <row r="67" ht="18" customHeight="1" spans="1:39" x14ac:dyDescent="0.25">
      <c r="A67" s="7">
        <f>IF(COUNTA($B67:$K67)=0,"",COUNT($A$2:A66)+1)</f>
      </c>
      <c r="B67" s="8"/>
      <c r="C67" s="8"/>
      <c r="D67" s="8"/>
      <c r="E67" s="9"/>
      <c r="F67" s="10"/>
      <c r="G67" s="11"/>
      <c r="H67" s="8"/>
      <c r="I67" s="8"/>
      <c r="J67" s="8"/>
      <c r="K67" s="8"/>
      <c r="L67" s="8"/>
      <c r="M67" s="8"/>
      <c r="N67" s="12"/>
      <c r="O67" s="10">
        <f>IF($N67="","",IF($M67="Доллары",$N67*Справочники!$B$4,$N67))</f>
      </c>
      <c r="P67" s="8"/>
      <c r="Q67" s="8"/>
      <c r="R67" s="8"/>
      <c r="S67" s="10"/>
      <c r="T67" s="8"/>
      <c r="U67" s="8"/>
      <c r="V67" s="8"/>
      <c r="W67" s="11"/>
      <c r="X67" s="8"/>
      <c r="Y67" s="11"/>
      <c r="Z67" s="10"/>
      <c r="AA67" s="10"/>
      <c r="AB67" s="13">
        <f>IF(OR($Z67="",$AA67="",$Z67=0),"",($Z67-$AA67)/$Z67)</f>
      </c>
      <c r="AC67" s="8"/>
      <c r="AD67" s="11"/>
      <c r="AE67" s="8"/>
      <c r="AF67" s="8"/>
      <c r="AG67" s="8"/>
      <c r="AH67" s="11"/>
      <c r="AI67" s="10"/>
      <c r="AJ67" s="8"/>
      <c r="AK67" s="11"/>
      <c r="AL67" s="8">
        <f>IF($H67="","",IFERROR(VLOOKUP($H67,Справочники!$A$8:$B$22,2,0),""))</f>
      </c>
      <c r="AM67" s="8">
        <f>IF($AE67&lt;&gt;"",$AE67,IF(OR($H67="Выиграна",$H67="Договор заключён",$H67="Договор исполняется",$H67="Исполнен/закрыт"),"Выиграна",IF($H67="Проиграна","Проиграна",IF($H67="Отменена заказчиком","Отменена заказчиком",""))))</f>
      </c>
    </row>
    <row r="68" ht="18" customHeight="1" spans="1:39" x14ac:dyDescent="0.25">
      <c r="A68" s="7">
        <f>IF(COUNTA($B68:$K68)=0,"",COUNT($A$2:A67)+1)</f>
      </c>
      <c r="B68" s="8"/>
      <c r="C68" s="8"/>
      <c r="D68" s="8"/>
      <c r="E68" s="9"/>
      <c r="F68" s="10"/>
      <c r="G68" s="11"/>
      <c r="H68" s="8"/>
      <c r="I68" s="8"/>
      <c r="J68" s="8"/>
      <c r="K68" s="8"/>
      <c r="L68" s="8"/>
      <c r="M68" s="8"/>
      <c r="N68" s="12"/>
      <c r="O68" s="10">
        <f>IF($N68="","",IF($M68="Доллары",$N68*Справочники!$B$4,$N68))</f>
      </c>
      <c r="P68" s="8"/>
      <c r="Q68" s="8"/>
      <c r="R68" s="8"/>
      <c r="S68" s="10"/>
      <c r="T68" s="8"/>
      <c r="U68" s="8"/>
      <c r="V68" s="8"/>
      <c r="W68" s="11"/>
      <c r="X68" s="8"/>
      <c r="Y68" s="11"/>
      <c r="Z68" s="10"/>
      <c r="AA68" s="10"/>
      <c r="AB68" s="13">
        <f>IF(OR($Z68="",$AA68="",$Z68=0),"",($Z68-$AA68)/$Z68)</f>
      </c>
      <c r="AC68" s="8"/>
      <c r="AD68" s="11"/>
      <c r="AE68" s="8"/>
      <c r="AF68" s="8"/>
      <c r="AG68" s="8"/>
      <c r="AH68" s="11"/>
      <c r="AI68" s="10"/>
      <c r="AJ68" s="8"/>
      <c r="AK68" s="11"/>
      <c r="AL68" s="8">
        <f>IF($H68="","",IFERROR(VLOOKUP($H68,Справочники!$A$8:$B$22,2,0),""))</f>
      </c>
      <c r="AM68" s="8">
        <f>IF($AE68&lt;&gt;"",$AE68,IF(OR($H68="Выиграна",$H68="Договор заключён",$H68="Договор исполняется",$H68="Исполнен/закрыт"),"Выиграна",IF($H68="Проиграна","Проиграна",IF($H68="Отменена заказчиком","Отменена заказчиком",""))))</f>
      </c>
    </row>
    <row r="69" ht="18" customHeight="1" spans="1:39" x14ac:dyDescent="0.25">
      <c r="A69" s="7">
        <f>IF(COUNTA($B69:$K69)=0,"",COUNT($A$2:A68)+1)</f>
      </c>
      <c r="B69" s="8"/>
      <c r="C69" s="8"/>
      <c r="D69" s="8"/>
      <c r="E69" s="9"/>
      <c r="F69" s="10"/>
      <c r="G69" s="11"/>
      <c r="H69" s="8"/>
      <c r="I69" s="8"/>
      <c r="J69" s="8"/>
      <c r="K69" s="8"/>
      <c r="L69" s="8"/>
      <c r="M69" s="8"/>
      <c r="N69" s="12"/>
      <c r="O69" s="10">
        <f>IF($N69="","",IF($M69="Доллары",$N69*Справочники!$B$4,$N69))</f>
      </c>
      <c r="P69" s="8"/>
      <c r="Q69" s="8"/>
      <c r="R69" s="8"/>
      <c r="S69" s="10"/>
      <c r="T69" s="8"/>
      <c r="U69" s="8"/>
      <c r="V69" s="8"/>
      <c r="W69" s="11"/>
      <c r="X69" s="8"/>
      <c r="Y69" s="11"/>
      <c r="Z69" s="10"/>
      <c r="AA69" s="10"/>
      <c r="AB69" s="13">
        <f>IF(OR($Z69="",$AA69="",$Z69=0),"",($Z69-$AA69)/$Z69)</f>
      </c>
      <c r="AC69" s="8"/>
      <c r="AD69" s="11"/>
      <c r="AE69" s="8"/>
      <c r="AF69" s="8"/>
      <c r="AG69" s="8"/>
      <c r="AH69" s="11"/>
      <c r="AI69" s="10"/>
      <c r="AJ69" s="8"/>
      <c r="AK69" s="11"/>
      <c r="AL69" s="8">
        <f>IF($H69="","",IFERROR(VLOOKUP($H69,Справочники!$A$8:$B$22,2,0),""))</f>
      </c>
      <c r="AM69" s="8">
        <f>IF($AE69&lt;&gt;"",$AE69,IF(OR($H69="Выиграна",$H69="Договор заключён",$H69="Договор исполняется",$H69="Исполнен/закрыт"),"Выиграна",IF($H69="Проиграна","Проиграна",IF($H69="Отменена заказчиком","Отменена заказчиком",""))))</f>
      </c>
    </row>
    <row r="70" ht="18" customHeight="1" spans="1:39" x14ac:dyDescent="0.25">
      <c r="A70" s="7">
        <f>IF(COUNTA($B70:$K70)=0,"",COUNT($A$2:A69)+1)</f>
      </c>
      <c r="B70" s="8"/>
      <c r="C70" s="8"/>
      <c r="D70" s="8"/>
      <c r="E70" s="9"/>
      <c r="F70" s="10"/>
      <c r="G70" s="11"/>
      <c r="H70" s="8"/>
      <c r="I70" s="8"/>
      <c r="J70" s="8"/>
      <c r="K70" s="8"/>
      <c r="L70" s="8"/>
      <c r="M70" s="8"/>
      <c r="N70" s="12"/>
      <c r="O70" s="10">
        <f>IF($N70="","",IF($M70="Доллары",$N70*Справочники!$B$4,$N70))</f>
      </c>
      <c r="P70" s="8"/>
      <c r="Q70" s="8"/>
      <c r="R70" s="8"/>
      <c r="S70" s="10"/>
      <c r="T70" s="8"/>
      <c r="U70" s="8"/>
      <c r="V70" s="8"/>
      <c r="W70" s="11"/>
      <c r="X70" s="8"/>
      <c r="Y70" s="11"/>
      <c r="Z70" s="10"/>
      <c r="AA70" s="10"/>
      <c r="AB70" s="13">
        <f>IF(OR($Z70="",$AA70="",$Z70=0),"",($Z70-$AA70)/$Z70)</f>
      </c>
      <c r="AC70" s="8"/>
      <c r="AD70" s="11"/>
      <c r="AE70" s="8"/>
      <c r="AF70" s="8"/>
      <c r="AG70" s="8"/>
      <c r="AH70" s="11"/>
      <c r="AI70" s="10"/>
      <c r="AJ70" s="8"/>
      <c r="AK70" s="11"/>
      <c r="AL70" s="8">
        <f>IF($H70="","",IFERROR(VLOOKUP($H70,Справочники!$A$8:$B$22,2,0),""))</f>
      </c>
      <c r="AM70" s="8">
        <f>IF($AE70&lt;&gt;"",$AE70,IF(OR($H70="Выиграна",$H70="Договор заключён",$H70="Договор исполняется",$H70="Исполнен/закрыт"),"Выиграна",IF($H70="Проиграна","Проиграна",IF($H70="Отменена заказчиком","Отменена заказчиком",""))))</f>
      </c>
    </row>
    <row r="71" ht="18" customHeight="1" spans="1:39" x14ac:dyDescent="0.25">
      <c r="A71" s="7">
        <f>IF(COUNTA($B71:$K71)=0,"",COUNT($A$2:A70)+1)</f>
      </c>
      <c r="B71" s="8"/>
      <c r="C71" s="8"/>
      <c r="D71" s="8"/>
      <c r="E71" s="9"/>
      <c r="F71" s="10"/>
      <c r="G71" s="11"/>
      <c r="H71" s="8"/>
      <c r="I71" s="8"/>
      <c r="J71" s="8"/>
      <c r="K71" s="8"/>
      <c r="L71" s="8"/>
      <c r="M71" s="8"/>
      <c r="N71" s="12"/>
      <c r="O71" s="10">
        <f>IF($N71="","",IF($M71="Доллары",$N71*Справочники!$B$4,$N71))</f>
      </c>
      <c r="P71" s="8"/>
      <c r="Q71" s="8"/>
      <c r="R71" s="8"/>
      <c r="S71" s="10"/>
      <c r="T71" s="8"/>
      <c r="U71" s="8"/>
      <c r="V71" s="8"/>
      <c r="W71" s="11"/>
      <c r="X71" s="8"/>
      <c r="Y71" s="11"/>
      <c r="Z71" s="10"/>
      <c r="AA71" s="10"/>
      <c r="AB71" s="13">
        <f>IF(OR($Z71="",$AA71="",$Z71=0),"",($Z71-$AA71)/$Z71)</f>
      </c>
      <c r="AC71" s="8"/>
      <c r="AD71" s="11"/>
      <c r="AE71" s="8"/>
      <c r="AF71" s="8"/>
      <c r="AG71" s="8"/>
      <c r="AH71" s="11"/>
      <c r="AI71" s="10"/>
      <c r="AJ71" s="8"/>
      <c r="AK71" s="11"/>
      <c r="AL71" s="8">
        <f>IF($H71="","",IFERROR(VLOOKUP($H71,Справочники!$A$8:$B$22,2,0),""))</f>
      </c>
      <c r="AM71" s="8">
        <f>IF($AE71&lt;&gt;"",$AE71,IF(OR($H71="Выиграна",$H71="Договор заключён",$H71="Договор исполняется",$H71="Исполнен/закрыт"),"Выиграна",IF($H71="Проиграна","Проиграна",IF($H71="Отменена заказчиком","Отменена заказчиком",""))))</f>
      </c>
    </row>
    <row r="72" ht="18" customHeight="1" spans="1:39" x14ac:dyDescent="0.25">
      <c r="A72" s="7">
        <f>IF(COUNTA($B72:$K72)=0,"",COUNT($A$2:A71)+1)</f>
      </c>
      <c r="B72" s="8"/>
      <c r="C72" s="8"/>
      <c r="D72" s="8"/>
      <c r="E72" s="9"/>
      <c r="F72" s="10"/>
      <c r="G72" s="11"/>
      <c r="H72" s="8"/>
      <c r="I72" s="8"/>
      <c r="J72" s="8"/>
      <c r="K72" s="8"/>
      <c r="L72" s="8"/>
      <c r="M72" s="8"/>
      <c r="N72" s="12"/>
      <c r="O72" s="10">
        <f>IF($N72="","",IF($M72="Доллары",$N72*Справочники!$B$4,$N72))</f>
      </c>
      <c r="P72" s="8"/>
      <c r="Q72" s="8"/>
      <c r="R72" s="8"/>
      <c r="S72" s="10"/>
      <c r="T72" s="8"/>
      <c r="U72" s="8"/>
      <c r="V72" s="8"/>
      <c r="W72" s="11"/>
      <c r="X72" s="8"/>
      <c r="Y72" s="11"/>
      <c r="Z72" s="10"/>
      <c r="AA72" s="10"/>
      <c r="AB72" s="13">
        <f>IF(OR($Z72="",$AA72="",$Z72=0),"",($Z72-$AA72)/$Z72)</f>
      </c>
      <c r="AC72" s="8"/>
      <c r="AD72" s="11"/>
      <c r="AE72" s="8"/>
      <c r="AF72" s="8"/>
      <c r="AG72" s="8"/>
      <c r="AH72" s="11"/>
      <c r="AI72" s="10"/>
      <c r="AJ72" s="8"/>
      <c r="AK72" s="11"/>
      <c r="AL72" s="8">
        <f>IF($H72="","",IFERROR(VLOOKUP($H72,Справочники!$A$8:$B$22,2,0),""))</f>
      </c>
      <c r="AM72" s="8">
        <f>IF($AE72&lt;&gt;"",$AE72,IF(OR($H72="Выиграна",$H72="Договор заключён",$H72="Договор исполняется",$H72="Исполнен/закрыт"),"Выиграна",IF($H72="Проиграна","Проиграна",IF($H72="Отменена заказчиком","Отменена заказчиком",""))))</f>
      </c>
    </row>
    <row r="73" ht="18" customHeight="1" spans="1:39" x14ac:dyDescent="0.25">
      <c r="A73" s="7">
        <f>IF(COUNTA($B73:$K73)=0,"",COUNT($A$2:A72)+1)</f>
      </c>
      <c r="B73" s="8"/>
      <c r="C73" s="8"/>
      <c r="D73" s="8"/>
      <c r="E73" s="9"/>
      <c r="F73" s="10"/>
      <c r="G73" s="11"/>
      <c r="H73" s="8"/>
      <c r="I73" s="8"/>
      <c r="J73" s="8"/>
      <c r="K73" s="8"/>
      <c r="L73" s="8"/>
      <c r="M73" s="8"/>
      <c r="N73" s="12"/>
      <c r="O73" s="10">
        <f>IF($N73="","",IF($M73="Доллары",$N73*Справочники!$B$4,$N73))</f>
      </c>
      <c r="P73" s="8"/>
      <c r="Q73" s="8"/>
      <c r="R73" s="8"/>
      <c r="S73" s="10"/>
      <c r="T73" s="8"/>
      <c r="U73" s="8"/>
      <c r="V73" s="8"/>
      <c r="W73" s="11"/>
      <c r="X73" s="8"/>
      <c r="Y73" s="11"/>
      <c r="Z73" s="10"/>
      <c r="AA73" s="10"/>
      <c r="AB73" s="13">
        <f>IF(OR($Z73="",$AA73="",$Z73=0),"",($Z73-$AA73)/$Z73)</f>
      </c>
      <c r="AC73" s="8"/>
      <c r="AD73" s="11"/>
      <c r="AE73" s="8"/>
      <c r="AF73" s="8"/>
      <c r="AG73" s="8"/>
      <c r="AH73" s="11"/>
      <c r="AI73" s="10"/>
      <c r="AJ73" s="8"/>
      <c r="AK73" s="11"/>
      <c r="AL73" s="8">
        <f>IF($H73="","",IFERROR(VLOOKUP($H73,Справочники!$A$8:$B$22,2,0),""))</f>
      </c>
      <c r="AM73" s="8">
        <f>IF($AE73&lt;&gt;"",$AE73,IF(OR($H73="Выиграна",$H73="Договор заключён",$H73="Договор исполняется",$H73="Исполнен/закрыт"),"Выиграна",IF($H73="Проиграна","Проиграна",IF($H73="Отменена заказчиком","Отменена заказчиком",""))))</f>
      </c>
    </row>
    <row r="74" ht="18" customHeight="1" spans="1:39" x14ac:dyDescent="0.25">
      <c r="A74" s="7">
        <f>IF(COUNTA($B74:$K74)=0,"",COUNT($A$2:A73)+1)</f>
      </c>
      <c r="B74" s="8"/>
      <c r="C74" s="8"/>
      <c r="D74" s="8"/>
      <c r="E74" s="9"/>
      <c r="F74" s="10"/>
      <c r="G74" s="11"/>
      <c r="H74" s="8"/>
      <c r="I74" s="8"/>
      <c r="J74" s="8"/>
      <c r="K74" s="8"/>
      <c r="L74" s="8"/>
      <c r="M74" s="8"/>
      <c r="N74" s="12"/>
      <c r="O74" s="10">
        <f>IF($N74="","",IF($M74="Доллары",$N74*Справочники!$B$4,$N74))</f>
      </c>
      <c r="P74" s="8"/>
      <c r="Q74" s="8"/>
      <c r="R74" s="8"/>
      <c r="S74" s="10"/>
      <c r="T74" s="8"/>
      <c r="U74" s="8"/>
      <c r="V74" s="8"/>
      <c r="W74" s="11"/>
      <c r="X74" s="8"/>
      <c r="Y74" s="11"/>
      <c r="Z74" s="10"/>
      <c r="AA74" s="10"/>
      <c r="AB74" s="13">
        <f>IF(OR($Z74="",$AA74="",$Z74=0),"",($Z74-$AA74)/$Z74)</f>
      </c>
      <c r="AC74" s="8"/>
      <c r="AD74" s="11"/>
      <c r="AE74" s="8"/>
      <c r="AF74" s="8"/>
      <c r="AG74" s="8"/>
      <c r="AH74" s="11"/>
      <c r="AI74" s="10"/>
      <c r="AJ74" s="8"/>
      <c r="AK74" s="11"/>
      <c r="AL74" s="8">
        <f>IF($H74="","",IFERROR(VLOOKUP($H74,Справочники!$A$8:$B$22,2,0),""))</f>
      </c>
      <c r="AM74" s="8">
        <f>IF($AE74&lt;&gt;"",$AE74,IF(OR($H74="Выиграна",$H74="Договор заключён",$H74="Договор исполняется",$H74="Исполнен/закрыт"),"Выиграна",IF($H74="Проиграна","Проиграна",IF($H74="Отменена заказчиком","Отменена заказчиком",""))))</f>
      </c>
    </row>
    <row r="75" ht="18" customHeight="1" spans="1:39" x14ac:dyDescent="0.25">
      <c r="A75" s="7">
        <f>IF(COUNTA($B75:$K75)=0,"",COUNT($A$2:A74)+1)</f>
      </c>
      <c r="B75" s="8"/>
      <c r="C75" s="8"/>
      <c r="D75" s="8"/>
      <c r="E75" s="9"/>
      <c r="F75" s="10"/>
      <c r="G75" s="11"/>
      <c r="H75" s="8"/>
      <c r="I75" s="8"/>
      <c r="J75" s="8"/>
      <c r="K75" s="8"/>
      <c r="L75" s="8"/>
      <c r="M75" s="8"/>
      <c r="N75" s="12"/>
      <c r="O75" s="10">
        <f>IF($N75="","",IF($M75="Доллары",$N75*Справочники!$B$4,$N75))</f>
      </c>
      <c r="P75" s="8"/>
      <c r="Q75" s="8"/>
      <c r="R75" s="8"/>
      <c r="S75" s="10"/>
      <c r="T75" s="8"/>
      <c r="U75" s="8"/>
      <c r="V75" s="8"/>
      <c r="W75" s="11"/>
      <c r="X75" s="8"/>
      <c r="Y75" s="11"/>
      <c r="Z75" s="10"/>
      <c r="AA75" s="10"/>
      <c r="AB75" s="13">
        <f>IF(OR($Z75="",$AA75="",$Z75=0),"",($Z75-$AA75)/$Z75)</f>
      </c>
      <c r="AC75" s="8"/>
      <c r="AD75" s="11"/>
      <c r="AE75" s="8"/>
      <c r="AF75" s="8"/>
      <c r="AG75" s="8"/>
      <c r="AH75" s="11"/>
      <c r="AI75" s="10"/>
      <c r="AJ75" s="8"/>
      <c r="AK75" s="11"/>
      <c r="AL75" s="8">
        <f>IF($H75="","",IFERROR(VLOOKUP($H75,Справочники!$A$8:$B$22,2,0),""))</f>
      </c>
      <c r="AM75" s="8">
        <f>IF($AE75&lt;&gt;"",$AE75,IF(OR($H75="Выиграна",$H75="Договор заключён",$H75="Договор исполняется",$H75="Исполнен/закрыт"),"Выиграна",IF($H75="Проиграна","Проиграна",IF($H75="Отменена заказчиком","Отменена заказчиком",""))))</f>
      </c>
    </row>
    <row r="76" ht="18" customHeight="1" spans="1:39" x14ac:dyDescent="0.25">
      <c r="A76" s="7">
        <f>IF(COUNTA($B76:$K76)=0,"",COUNT($A$2:A75)+1)</f>
      </c>
      <c r="B76" s="8"/>
      <c r="C76" s="8"/>
      <c r="D76" s="8"/>
      <c r="E76" s="9"/>
      <c r="F76" s="10"/>
      <c r="G76" s="11"/>
      <c r="H76" s="8"/>
      <c r="I76" s="8"/>
      <c r="J76" s="8"/>
      <c r="K76" s="8"/>
      <c r="L76" s="8"/>
      <c r="M76" s="8"/>
      <c r="N76" s="12"/>
      <c r="O76" s="10">
        <f>IF($N76="","",IF($M76="Доллары",$N76*Справочники!$B$4,$N76))</f>
      </c>
      <c r="P76" s="8"/>
      <c r="Q76" s="8"/>
      <c r="R76" s="8"/>
      <c r="S76" s="10"/>
      <c r="T76" s="8"/>
      <c r="U76" s="8"/>
      <c r="V76" s="8"/>
      <c r="W76" s="11"/>
      <c r="X76" s="8"/>
      <c r="Y76" s="11"/>
      <c r="Z76" s="10"/>
      <c r="AA76" s="10"/>
      <c r="AB76" s="13">
        <f>IF(OR($Z76="",$AA76="",$Z76=0),"",($Z76-$AA76)/$Z76)</f>
      </c>
      <c r="AC76" s="8"/>
      <c r="AD76" s="11"/>
      <c r="AE76" s="8"/>
      <c r="AF76" s="8"/>
      <c r="AG76" s="8"/>
      <c r="AH76" s="11"/>
      <c r="AI76" s="10"/>
      <c r="AJ76" s="8"/>
      <c r="AK76" s="11"/>
      <c r="AL76" s="8">
        <f>IF($H76="","",IFERROR(VLOOKUP($H76,Справочники!$A$8:$B$22,2,0),""))</f>
      </c>
      <c r="AM76" s="8">
        <f>IF($AE76&lt;&gt;"",$AE76,IF(OR($H76="Выиграна",$H76="Договор заключён",$H76="Договор исполняется",$H76="Исполнен/закрыт"),"Выиграна",IF($H76="Проиграна","Проиграна",IF($H76="Отменена заказчиком","Отменена заказчиком",""))))</f>
      </c>
    </row>
    <row r="77" ht="18" customHeight="1" spans="1:39" x14ac:dyDescent="0.25">
      <c r="A77" s="7">
        <f>IF(COUNTA($B77:$K77)=0,"",COUNT($A$2:A76)+1)</f>
      </c>
      <c r="B77" s="8"/>
      <c r="C77" s="8"/>
      <c r="D77" s="8"/>
      <c r="E77" s="9"/>
      <c r="F77" s="10"/>
      <c r="G77" s="11"/>
      <c r="H77" s="8"/>
      <c r="I77" s="8"/>
      <c r="J77" s="8"/>
      <c r="K77" s="8"/>
      <c r="L77" s="8"/>
      <c r="M77" s="8"/>
      <c r="N77" s="12"/>
      <c r="O77" s="10">
        <f>IF($N77="","",IF($M77="Доллары",$N77*Справочники!$B$4,$N77))</f>
      </c>
      <c r="P77" s="8"/>
      <c r="Q77" s="8"/>
      <c r="R77" s="8"/>
      <c r="S77" s="10"/>
      <c r="T77" s="8"/>
      <c r="U77" s="8"/>
      <c r="V77" s="8"/>
      <c r="W77" s="11"/>
      <c r="X77" s="8"/>
      <c r="Y77" s="11"/>
      <c r="Z77" s="10"/>
      <c r="AA77" s="10"/>
      <c r="AB77" s="13">
        <f>IF(OR($Z77="",$AA77="",$Z77=0),"",($Z77-$AA77)/$Z77)</f>
      </c>
      <c r="AC77" s="8"/>
      <c r="AD77" s="11"/>
      <c r="AE77" s="8"/>
      <c r="AF77" s="8"/>
      <c r="AG77" s="8"/>
      <c r="AH77" s="11"/>
      <c r="AI77" s="10"/>
      <c r="AJ77" s="8"/>
      <c r="AK77" s="11"/>
      <c r="AL77" s="8">
        <f>IF($H77="","",IFERROR(VLOOKUP($H77,Справочники!$A$8:$B$22,2,0),""))</f>
      </c>
      <c r="AM77" s="8">
        <f>IF($AE77&lt;&gt;"",$AE77,IF(OR($H77="Выиграна",$H77="Договор заключён",$H77="Договор исполняется",$H77="Исполнен/закрыт"),"Выиграна",IF($H77="Проиграна","Проиграна",IF($H77="Отменена заказчиком","Отменена заказчиком",""))))</f>
      </c>
    </row>
    <row r="78" ht="18" customHeight="1" spans="1:39" x14ac:dyDescent="0.25">
      <c r="A78" s="7">
        <f>IF(COUNTA($B78:$K78)=0,"",COUNT($A$2:A77)+1)</f>
      </c>
      <c r="B78" s="8"/>
      <c r="C78" s="8"/>
      <c r="D78" s="8"/>
      <c r="E78" s="9"/>
      <c r="F78" s="10"/>
      <c r="G78" s="11"/>
      <c r="H78" s="8"/>
      <c r="I78" s="8"/>
      <c r="J78" s="8"/>
      <c r="K78" s="8"/>
      <c r="L78" s="8"/>
      <c r="M78" s="8"/>
      <c r="N78" s="12"/>
      <c r="O78" s="10">
        <f>IF($N78="","",IF($M78="Доллары",$N78*Справочники!$B$4,$N78))</f>
      </c>
      <c r="P78" s="8"/>
      <c r="Q78" s="8"/>
      <c r="R78" s="8"/>
      <c r="S78" s="10"/>
      <c r="T78" s="8"/>
      <c r="U78" s="8"/>
      <c r="V78" s="8"/>
      <c r="W78" s="11"/>
      <c r="X78" s="8"/>
      <c r="Y78" s="11"/>
      <c r="Z78" s="10"/>
      <c r="AA78" s="10"/>
      <c r="AB78" s="13">
        <f>IF(OR($Z78="",$AA78="",$Z78=0),"",($Z78-$AA78)/$Z78)</f>
      </c>
      <c r="AC78" s="8"/>
      <c r="AD78" s="11"/>
      <c r="AE78" s="8"/>
      <c r="AF78" s="8"/>
      <c r="AG78" s="8"/>
      <c r="AH78" s="11"/>
      <c r="AI78" s="10"/>
      <c r="AJ78" s="8"/>
      <c r="AK78" s="11"/>
      <c r="AL78" s="8">
        <f>IF($H78="","",IFERROR(VLOOKUP($H78,Справочники!$A$8:$B$22,2,0),""))</f>
      </c>
      <c r="AM78" s="8">
        <f>IF($AE78&lt;&gt;"",$AE78,IF(OR($H78="Выиграна",$H78="Договор заключён",$H78="Договор исполняется",$H78="Исполнен/закрыт"),"Выиграна",IF($H78="Проиграна","Проиграна",IF($H78="Отменена заказчиком","Отменена заказчиком",""))))</f>
      </c>
    </row>
    <row r="79" ht="18" customHeight="1" spans="1:39" x14ac:dyDescent="0.25">
      <c r="A79" s="7">
        <f>IF(COUNTA($B79:$K79)=0,"",COUNT($A$2:A78)+1)</f>
      </c>
      <c r="B79" s="8"/>
      <c r="C79" s="8"/>
      <c r="D79" s="8"/>
      <c r="E79" s="9"/>
      <c r="F79" s="10"/>
      <c r="G79" s="11"/>
      <c r="H79" s="8"/>
      <c r="I79" s="8"/>
      <c r="J79" s="8"/>
      <c r="K79" s="8"/>
      <c r="L79" s="8"/>
      <c r="M79" s="8"/>
      <c r="N79" s="12"/>
      <c r="O79" s="10">
        <f>IF($N79="","",IF($M79="Доллары",$N79*Справочники!$B$4,$N79))</f>
      </c>
      <c r="P79" s="8"/>
      <c r="Q79" s="8"/>
      <c r="R79" s="8"/>
      <c r="S79" s="10"/>
      <c r="T79" s="8"/>
      <c r="U79" s="8"/>
      <c r="V79" s="8"/>
      <c r="W79" s="11"/>
      <c r="X79" s="8"/>
      <c r="Y79" s="11"/>
      <c r="Z79" s="10"/>
      <c r="AA79" s="10"/>
      <c r="AB79" s="13">
        <f>IF(OR($Z79="",$AA79="",$Z79=0),"",($Z79-$AA79)/$Z79)</f>
      </c>
      <c r="AC79" s="8"/>
      <c r="AD79" s="11"/>
      <c r="AE79" s="8"/>
      <c r="AF79" s="8"/>
      <c r="AG79" s="8"/>
      <c r="AH79" s="11"/>
      <c r="AI79" s="10"/>
      <c r="AJ79" s="8"/>
      <c r="AK79" s="11"/>
      <c r="AL79" s="8">
        <f>IF($H79="","",IFERROR(VLOOKUP($H79,Справочники!$A$8:$B$22,2,0),""))</f>
      </c>
      <c r="AM79" s="8">
        <f>IF($AE79&lt;&gt;"",$AE79,IF(OR($H79="Выиграна",$H79="Договор заключён",$H79="Договор исполняется",$H79="Исполнен/закрыт"),"Выиграна",IF($H79="Проиграна","Проиграна",IF($H79="Отменена заказчиком","Отменена заказчиком",""))))</f>
      </c>
    </row>
    <row r="80" ht="18" customHeight="1" spans="1:39" x14ac:dyDescent="0.25">
      <c r="A80" s="7">
        <f>IF(COUNTA($B80:$K80)=0,"",COUNT($A$2:A79)+1)</f>
      </c>
      <c r="B80" s="8"/>
      <c r="C80" s="8"/>
      <c r="D80" s="8"/>
      <c r="E80" s="9"/>
      <c r="F80" s="10"/>
      <c r="G80" s="11"/>
      <c r="H80" s="8"/>
      <c r="I80" s="8"/>
      <c r="J80" s="8"/>
      <c r="K80" s="8"/>
      <c r="L80" s="8"/>
      <c r="M80" s="8"/>
      <c r="N80" s="12"/>
      <c r="O80" s="10">
        <f>IF($N80="","",IF($M80="Доллары",$N80*Справочники!$B$4,$N80))</f>
      </c>
      <c r="P80" s="8"/>
      <c r="Q80" s="8"/>
      <c r="R80" s="8"/>
      <c r="S80" s="10"/>
      <c r="T80" s="8"/>
      <c r="U80" s="8"/>
      <c r="V80" s="8"/>
      <c r="W80" s="11"/>
      <c r="X80" s="8"/>
      <c r="Y80" s="11"/>
      <c r="Z80" s="10"/>
      <c r="AA80" s="10"/>
      <c r="AB80" s="13">
        <f>IF(OR($Z80="",$AA80="",$Z80=0),"",($Z80-$AA80)/$Z80)</f>
      </c>
      <c r="AC80" s="8"/>
      <c r="AD80" s="11"/>
      <c r="AE80" s="8"/>
      <c r="AF80" s="8"/>
      <c r="AG80" s="8"/>
      <c r="AH80" s="11"/>
      <c r="AI80" s="10"/>
      <c r="AJ80" s="8"/>
      <c r="AK80" s="11"/>
      <c r="AL80" s="8">
        <f>IF($H80="","",IFERROR(VLOOKUP($H80,Справочники!$A$8:$B$22,2,0),""))</f>
      </c>
      <c r="AM80" s="8">
        <f>IF($AE80&lt;&gt;"",$AE80,IF(OR($H80="Выиграна",$H80="Договор заключён",$H80="Договор исполняется",$H80="Исполнен/закрыт"),"Выиграна",IF($H80="Проиграна","Проиграна",IF($H80="Отменена заказчиком","Отменена заказчиком",""))))</f>
      </c>
    </row>
    <row r="81" ht="18" customHeight="1" spans="1:39" x14ac:dyDescent="0.25">
      <c r="A81" s="7">
        <f>IF(COUNTA($B81:$K81)=0,"",COUNT($A$2:A80)+1)</f>
      </c>
      <c r="B81" s="8"/>
      <c r="C81" s="8"/>
      <c r="D81" s="8"/>
      <c r="E81" s="9"/>
      <c r="F81" s="10"/>
      <c r="G81" s="11"/>
      <c r="H81" s="8"/>
      <c r="I81" s="8"/>
      <c r="J81" s="8"/>
      <c r="K81" s="8"/>
      <c r="L81" s="8"/>
      <c r="M81" s="8"/>
      <c r="N81" s="12"/>
      <c r="O81" s="10">
        <f>IF($N81="","",IF($M81="Доллары",$N81*Справочники!$B$4,$N81))</f>
      </c>
      <c r="P81" s="8"/>
      <c r="Q81" s="8"/>
      <c r="R81" s="8"/>
      <c r="S81" s="10"/>
      <c r="T81" s="8"/>
      <c r="U81" s="8"/>
      <c r="V81" s="8"/>
      <c r="W81" s="11"/>
      <c r="X81" s="8"/>
      <c r="Y81" s="11"/>
      <c r="Z81" s="10"/>
      <c r="AA81" s="10"/>
      <c r="AB81" s="13">
        <f>IF(OR($Z81="",$AA81="",$Z81=0),"",($Z81-$AA81)/$Z81)</f>
      </c>
      <c r="AC81" s="8"/>
      <c r="AD81" s="11"/>
      <c r="AE81" s="8"/>
      <c r="AF81" s="8"/>
      <c r="AG81" s="8"/>
      <c r="AH81" s="11"/>
      <c r="AI81" s="10"/>
      <c r="AJ81" s="8"/>
      <c r="AK81" s="11"/>
      <c r="AL81" s="8">
        <f>IF($H81="","",IFERROR(VLOOKUP($H81,Справочники!$A$8:$B$22,2,0),""))</f>
      </c>
      <c r="AM81" s="8">
        <f>IF($AE81&lt;&gt;"",$AE81,IF(OR($H81="Выиграна",$H81="Договор заключён",$H81="Договор исполняется",$H81="Исполнен/закрыт"),"Выиграна",IF($H81="Проиграна","Проиграна",IF($H81="Отменена заказчиком","Отменена заказчиком",""))))</f>
      </c>
    </row>
    <row r="82" ht="18" customHeight="1" spans="1:39" x14ac:dyDescent="0.25">
      <c r="A82" s="7">
        <f>IF(COUNTA($B82:$K82)=0,"",COUNT($A$2:A81)+1)</f>
      </c>
      <c r="B82" s="8"/>
      <c r="C82" s="8"/>
      <c r="D82" s="8"/>
      <c r="E82" s="9"/>
      <c r="F82" s="10"/>
      <c r="G82" s="11"/>
      <c r="H82" s="8"/>
      <c r="I82" s="8"/>
      <c r="J82" s="8"/>
      <c r="K82" s="8"/>
      <c r="L82" s="8"/>
      <c r="M82" s="8"/>
      <c r="N82" s="12"/>
      <c r="O82" s="10">
        <f>IF($N82="","",IF($M82="Доллары",$N82*Справочники!$B$4,$N82))</f>
      </c>
      <c r="P82" s="8"/>
      <c r="Q82" s="8"/>
      <c r="R82" s="8"/>
      <c r="S82" s="10"/>
      <c r="T82" s="8"/>
      <c r="U82" s="8"/>
      <c r="V82" s="8"/>
      <c r="W82" s="11"/>
      <c r="X82" s="8"/>
      <c r="Y82" s="11"/>
      <c r="Z82" s="10"/>
      <c r="AA82" s="10"/>
      <c r="AB82" s="13">
        <f>IF(OR($Z82="",$AA82="",$Z82=0),"",($Z82-$AA82)/$Z82)</f>
      </c>
      <c r="AC82" s="8"/>
      <c r="AD82" s="11"/>
      <c r="AE82" s="8"/>
      <c r="AF82" s="8"/>
      <c r="AG82" s="8"/>
      <c r="AH82" s="11"/>
      <c r="AI82" s="10"/>
      <c r="AJ82" s="8"/>
      <c r="AK82" s="11"/>
      <c r="AL82" s="8">
        <f>IF($H82="","",IFERROR(VLOOKUP($H82,Справочники!$A$8:$B$22,2,0),""))</f>
      </c>
      <c r="AM82" s="8">
        <f>IF($AE82&lt;&gt;"",$AE82,IF(OR($H82="Выиграна",$H82="Договор заключён",$H82="Договор исполняется",$H82="Исполнен/закрыт"),"Выиграна",IF($H82="Проиграна","Проиграна",IF($H82="Отменена заказчиком","Отменена заказчиком",""))))</f>
      </c>
    </row>
    <row r="83" ht="18" customHeight="1" spans="1:39" x14ac:dyDescent="0.25">
      <c r="A83" s="7">
        <f>IF(COUNTA($B83:$K83)=0,"",COUNT($A$2:A82)+1)</f>
      </c>
      <c r="B83" s="8"/>
      <c r="C83" s="8"/>
      <c r="D83" s="8"/>
      <c r="E83" s="9"/>
      <c r="F83" s="10"/>
      <c r="G83" s="11"/>
      <c r="H83" s="8"/>
      <c r="I83" s="8"/>
      <c r="J83" s="8"/>
      <c r="K83" s="8"/>
      <c r="L83" s="8"/>
      <c r="M83" s="8"/>
      <c r="N83" s="12"/>
      <c r="O83" s="10">
        <f>IF($N83="","",IF($M83="Доллары",$N83*Справочники!$B$4,$N83))</f>
      </c>
      <c r="P83" s="8"/>
      <c r="Q83" s="8"/>
      <c r="R83" s="8"/>
      <c r="S83" s="10"/>
      <c r="T83" s="8"/>
      <c r="U83" s="8"/>
      <c r="V83" s="8"/>
      <c r="W83" s="11"/>
      <c r="X83" s="8"/>
      <c r="Y83" s="11"/>
      <c r="Z83" s="10"/>
      <c r="AA83" s="10"/>
      <c r="AB83" s="13">
        <f>IF(OR($Z83="",$AA83="",$Z83=0),"",($Z83-$AA83)/$Z83)</f>
      </c>
      <c r="AC83" s="8"/>
      <c r="AD83" s="11"/>
      <c r="AE83" s="8"/>
      <c r="AF83" s="8"/>
      <c r="AG83" s="8"/>
      <c r="AH83" s="11"/>
      <c r="AI83" s="10"/>
      <c r="AJ83" s="8"/>
      <c r="AK83" s="11"/>
      <c r="AL83" s="8">
        <f>IF($H83="","",IFERROR(VLOOKUP($H83,Справочники!$A$8:$B$22,2,0),""))</f>
      </c>
      <c r="AM83" s="8">
        <f>IF($AE83&lt;&gt;"",$AE83,IF(OR($H83="Выиграна",$H83="Договор заключён",$H83="Договор исполняется",$H83="Исполнен/закрыт"),"Выиграна",IF($H83="Проиграна","Проиграна",IF($H83="Отменена заказчиком","Отменена заказчиком",""))))</f>
      </c>
    </row>
    <row r="84" ht="18" customHeight="1" spans="1:39" x14ac:dyDescent="0.25">
      <c r="A84" s="7">
        <f>IF(COUNTA($B84:$K84)=0,"",COUNT($A$2:A83)+1)</f>
      </c>
      <c r="B84" s="8"/>
      <c r="C84" s="8"/>
      <c r="D84" s="8"/>
      <c r="E84" s="9"/>
      <c r="F84" s="10"/>
      <c r="G84" s="11"/>
      <c r="H84" s="8"/>
      <c r="I84" s="8"/>
      <c r="J84" s="8"/>
      <c r="K84" s="8"/>
      <c r="L84" s="8"/>
      <c r="M84" s="8"/>
      <c r="N84" s="12"/>
      <c r="O84" s="10">
        <f>IF($N84="","",IF($M84="Доллары",$N84*Справочники!$B$4,$N84))</f>
      </c>
      <c r="P84" s="8"/>
      <c r="Q84" s="8"/>
      <c r="R84" s="8"/>
      <c r="S84" s="10"/>
      <c r="T84" s="8"/>
      <c r="U84" s="8"/>
      <c r="V84" s="8"/>
      <c r="W84" s="11"/>
      <c r="X84" s="8"/>
      <c r="Y84" s="11"/>
      <c r="Z84" s="10"/>
      <c r="AA84" s="10"/>
      <c r="AB84" s="13">
        <f>IF(OR($Z84="",$AA84="",$Z84=0),"",($Z84-$AA84)/$Z84)</f>
      </c>
      <c r="AC84" s="8"/>
      <c r="AD84" s="11"/>
      <c r="AE84" s="8"/>
      <c r="AF84" s="8"/>
      <c r="AG84" s="8"/>
      <c r="AH84" s="11"/>
      <c r="AI84" s="10"/>
      <c r="AJ84" s="8"/>
      <c r="AK84" s="11"/>
      <c r="AL84" s="8">
        <f>IF($H84="","",IFERROR(VLOOKUP($H84,Справочники!$A$8:$B$22,2,0),""))</f>
      </c>
      <c r="AM84" s="8">
        <f>IF($AE84&lt;&gt;"",$AE84,IF(OR($H84="Выиграна",$H84="Договор заключён",$H84="Договор исполняется",$H84="Исполнен/закрыт"),"Выиграна",IF($H84="Проиграна","Проиграна",IF($H84="Отменена заказчиком","Отменена заказчиком",""))))</f>
      </c>
    </row>
    <row r="85" ht="18" customHeight="1" spans="1:39" x14ac:dyDescent="0.25">
      <c r="A85" s="7">
        <f>IF(COUNTA($B85:$K85)=0,"",COUNT($A$2:A84)+1)</f>
      </c>
      <c r="B85" s="8"/>
      <c r="C85" s="8"/>
      <c r="D85" s="8"/>
      <c r="E85" s="9"/>
      <c r="F85" s="10"/>
      <c r="G85" s="11"/>
      <c r="H85" s="8"/>
      <c r="I85" s="8"/>
      <c r="J85" s="8"/>
      <c r="K85" s="8"/>
      <c r="L85" s="8"/>
      <c r="M85" s="8"/>
      <c r="N85" s="12"/>
      <c r="O85" s="10">
        <f>IF($N85="","",IF($M85="Доллары",$N85*Справочники!$B$4,$N85))</f>
      </c>
      <c r="P85" s="8"/>
      <c r="Q85" s="8"/>
      <c r="R85" s="8"/>
      <c r="S85" s="10"/>
      <c r="T85" s="8"/>
      <c r="U85" s="8"/>
      <c r="V85" s="8"/>
      <c r="W85" s="11"/>
      <c r="X85" s="8"/>
      <c r="Y85" s="11"/>
      <c r="Z85" s="10"/>
      <c r="AA85" s="10"/>
      <c r="AB85" s="13">
        <f>IF(OR($Z85="",$AA85="",$Z85=0),"",($Z85-$AA85)/$Z85)</f>
      </c>
      <c r="AC85" s="8"/>
      <c r="AD85" s="11"/>
      <c r="AE85" s="8"/>
      <c r="AF85" s="8"/>
      <c r="AG85" s="8"/>
      <c r="AH85" s="11"/>
      <c r="AI85" s="10"/>
      <c r="AJ85" s="8"/>
      <c r="AK85" s="11"/>
      <c r="AL85" s="8">
        <f>IF($H85="","",IFERROR(VLOOKUP($H85,Справочники!$A$8:$B$22,2,0),""))</f>
      </c>
      <c r="AM85" s="8">
        <f>IF($AE85&lt;&gt;"",$AE85,IF(OR($H85="Выиграна",$H85="Договор заключён",$H85="Договор исполняется",$H85="Исполнен/закрыт"),"Выиграна",IF($H85="Проиграна","Проиграна",IF($H85="Отменена заказчиком","Отменена заказчиком",""))))</f>
      </c>
    </row>
    <row r="86" ht="18" customHeight="1" spans="1:39" x14ac:dyDescent="0.25">
      <c r="A86" s="7">
        <f>IF(COUNTA($B86:$K86)=0,"",COUNT($A$2:A85)+1)</f>
      </c>
      <c r="B86" s="8"/>
      <c r="C86" s="8"/>
      <c r="D86" s="8"/>
      <c r="E86" s="9"/>
      <c r="F86" s="10"/>
      <c r="G86" s="11"/>
      <c r="H86" s="8"/>
      <c r="I86" s="8"/>
      <c r="J86" s="8"/>
      <c r="K86" s="8"/>
      <c r="L86" s="8"/>
      <c r="M86" s="8"/>
      <c r="N86" s="12"/>
      <c r="O86" s="10">
        <f>IF($N86="","",IF($M86="Доллары",$N86*Справочники!$B$4,$N86))</f>
      </c>
      <c r="P86" s="8"/>
      <c r="Q86" s="8"/>
      <c r="R86" s="8"/>
      <c r="S86" s="10"/>
      <c r="T86" s="8"/>
      <c r="U86" s="8"/>
      <c r="V86" s="8"/>
      <c r="W86" s="11"/>
      <c r="X86" s="8"/>
      <c r="Y86" s="11"/>
      <c r="Z86" s="10"/>
      <c r="AA86" s="10"/>
      <c r="AB86" s="13">
        <f>IF(OR($Z86="",$AA86="",$Z86=0),"",($Z86-$AA86)/$Z86)</f>
      </c>
      <c r="AC86" s="8"/>
      <c r="AD86" s="11"/>
      <c r="AE86" s="8"/>
      <c r="AF86" s="8"/>
      <c r="AG86" s="8"/>
      <c r="AH86" s="11"/>
      <c r="AI86" s="10"/>
      <c r="AJ86" s="8"/>
      <c r="AK86" s="11"/>
      <c r="AL86" s="8">
        <f>IF($H86="","",IFERROR(VLOOKUP($H86,Справочники!$A$8:$B$22,2,0),""))</f>
      </c>
      <c r="AM86" s="8">
        <f>IF($AE86&lt;&gt;"",$AE86,IF(OR($H86="Выиграна",$H86="Договор заключён",$H86="Договор исполняется",$H86="Исполнен/закрыт"),"Выиграна",IF($H86="Проиграна","Проиграна",IF($H86="Отменена заказчиком","Отменена заказчиком",""))))</f>
      </c>
    </row>
    <row r="87" ht="18" customHeight="1" spans="1:39" x14ac:dyDescent="0.25">
      <c r="A87" s="7">
        <f>IF(COUNTA($B87:$K87)=0,"",COUNT($A$2:A86)+1)</f>
      </c>
      <c r="B87" s="8"/>
      <c r="C87" s="8"/>
      <c r="D87" s="8"/>
      <c r="E87" s="9"/>
      <c r="F87" s="10"/>
      <c r="G87" s="11"/>
      <c r="H87" s="8"/>
      <c r="I87" s="8"/>
      <c r="J87" s="8"/>
      <c r="K87" s="8"/>
      <c r="L87" s="8"/>
      <c r="M87" s="8"/>
      <c r="N87" s="12"/>
      <c r="O87" s="10">
        <f>IF($N87="","",IF($M87="Доллары",$N87*Справочники!$B$4,$N87))</f>
      </c>
      <c r="P87" s="8"/>
      <c r="Q87" s="8"/>
      <c r="R87" s="8"/>
      <c r="S87" s="10"/>
      <c r="T87" s="8"/>
      <c r="U87" s="8"/>
      <c r="V87" s="8"/>
      <c r="W87" s="11"/>
      <c r="X87" s="8"/>
      <c r="Y87" s="11"/>
      <c r="Z87" s="10"/>
      <c r="AA87" s="10"/>
      <c r="AB87" s="13">
        <f>IF(OR($Z87="",$AA87="",$Z87=0),"",($Z87-$AA87)/$Z87)</f>
      </c>
      <c r="AC87" s="8"/>
      <c r="AD87" s="11"/>
      <c r="AE87" s="8"/>
      <c r="AF87" s="8"/>
      <c r="AG87" s="8"/>
      <c r="AH87" s="11"/>
      <c r="AI87" s="10"/>
      <c r="AJ87" s="8"/>
      <c r="AK87" s="11"/>
      <c r="AL87" s="8">
        <f>IF($H87="","",IFERROR(VLOOKUP($H87,Справочники!$A$8:$B$22,2,0),""))</f>
      </c>
      <c r="AM87" s="8">
        <f>IF($AE87&lt;&gt;"",$AE87,IF(OR($H87="Выиграна",$H87="Договор заключён",$H87="Договор исполняется",$H87="Исполнен/закрыт"),"Выиграна",IF($H87="Проиграна","Проиграна",IF($H87="Отменена заказчиком","Отменена заказчиком",""))))</f>
      </c>
    </row>
    <row r="88" ht="18" customHeight="1" spans="1:39" x14ac:dyDescent="0.25">
      <c r="A88" s="7">
        <f>IF(COUNTA($B88:$K88)=0,"",COUNT($A$2:A87)+1)</f>
      </c>
      <c r="B88" s="8"/>
      <c r="C88" s="8"/>
      <c r="D88" s="8"/>
      <c r="E88" s="9"/>
      <c r="F88" s="10"/>
      <c r="G88" s="11"/>
      <c r="H88" s="8"/>
      <c r="I88" s="8"/>
      <c r="J88" s="8"/>
      <c r="K88" s="8"/>
      <c r="L88" s="8"/>
      <c r="M88" s="8"/>
      <c r="N88" s="12"/>
      <c r="O88" s="10">
        <f>IF($N88="","",IF($M88="Доллары",$N88*Справочники!$B$4,$N88))</f>
      </c>
      <c r="P88" s="8"/>
      <c r="Q88" s="8"/>
      <c r="R88" s="8"/>
      <c r="S88" s="10"/>
      <c r="T88" s="8"/>
      <c r="U88" s="8"/>
      <c r="V88" s="8"/>
      <c r="W88" s="11"/>
      <c r="X88" s="8"/>
      <c r="Y88" s="11"/>
      <c r="Z88" s="10"/>
      <c r="AA88" s="10"/>
      <c r="AB88" s="13">
        <f>IF(OR($Z88="",$AA88="",$Z88=0),"",($Z88-$AA88)/$Z88)</f>
      </c>
      <c r="AC88" s="8"/>
      <c r="AD88" s="11"/>
      <c r="AE88" s="8"/>
      <c r="AF88" s="8"/>
      <c r="AG88" s="8"/>
      <c r="AH88" s="11"/>
      <c r="AI88" s="10"/>
      <c r="AJ88" s="8"/>
      <c r="AK88" s="11"/>
      <c r="AL88" s="8">
        <f>IF($H88="","",IFERROR(VLOOKUP($H88,Справочники!$A$8:$B$22,2,0),""))</f>
      </c>
      <c r="AM88" s="8">
        <f>IF($AE88&lt;&gt;"",$AE88,IF(OR($H88="Выиграна",$H88="Договор заключён",$H88="Договор исполняется",$H88="Исполнен/закрыт"),"Выиграна",IF($H88="Проиграна","Проиграна",IF($H88="Отменена заказчиком","Отменена заказчиком",""))))</f>
      </c>
    </row>
    <row r="89" ht="18" customHeight="1" spans="1:39" x14ac:dyDescent="0.25">
      <c r="A89" s="7">
        <f>IF(COUNTA($B89:$K89)=0,"",COUNT($A$2:A88)+1)</f>
      </c>
      <c r="B89" s="8"/>
      <c r="C89" s="8"/>
      <c r="D89" s="8"/>
      <c r="E89" s="9"/>
      <c r="F89" s="10"/>
      <c r="G89" s="11"/>
      <c r="H89" s="8"/>
      <c r="I89" s="8"/>
      <c r="J89" s="8"/>
      <c r="K89" s="8"/>
      <c r="L89" s="8"/>
      <c r="M89" s="8"/>
      <c r="N89" s="12"/>
      <c r="O89" s="10">
        <f>IF($N89="","",IF($M89="Доллары",$N89*Справочники!$B$4,$N89))</f>
      </c>
      <c r="P89" s="8"/>
      <c r="Q89" s="8"/>
      <c r="R89" s="8"/>
      <c r="S89" s="10"/>
      <c r="T89" s="8"/>
      <c r="U89" s="8"/>
      <c r="V89" s="8"/>
      <c r="W89" s="11"/>
      <c r="X89" s="8"/>
      <c r="Y89" s="11"/>
      <c r="Z89" s="10"/>
      <c r="AA89" s="10"/>
      <c r="AB89" s="13">
        <f>IF(OR($Z89="",$AA89="",$Z89=0),"",($Z89-$AA89)/$Z89)</f>
      </c>
      <c r="AC89" s="8"/>
      <c r="AD89" s="11"/>
      <c r="AE89" s="8"/>
      <c r="AF89" s="8"/>
      <c r="AG89" s="8"/>
      <c r="AH89" s="11"/>
      <c r="AI89" s="10"/>
      <c r="AJ89" s="8"/>
      <c r="AK89" s="11"/>
      <c r="AL89" s="8">
        <f>IF($H89="","",IFERROR(VLOOKUP($H89,Справочники!$A$8:$B$22,2,0),""))</f>
      </c>
      <c r="AM89" s="8">
        <f>IF($AE89&lt;&gt;"",$AE89,IF(OR($H89="Выиграна",$H89="Договор заключён",$H89="Договор исполняется",$H89="Исполнен/закрыт"),"Выиграна",IF($H89="Проиграна","Проиграна",IF($H89="Отменена заказчиком","Отменена заказчиком",""))))</f>
      </c>
    </row>
    <row r="90" ht="18" customHeight="1" spans="1:39" x14ac:dyDescent="0.25">
      <c r="A90" s="7">
        <f>IF(COUNTA($B90:$K90)=0,"",COUNT($A$2:A89)+1)</f>
      </c>
      <c r="B90" s="8"/>
      <c r="C90" s="8"/>
      <c r="D90" s="8"/>
      <c r="E90" s="9"/>
      <c r="F90" s="10"/>
      <c r="G90" s="11"/>
      <c r="H90" s="8"/>
      <c r="I90" s="8"/>
      <c r="J90" s="8"/>
      <c r="K90" s="8"/>
      <c r="L90" s="8"/>
      <c r="M90" s="8"/>
      <c r="N90" s="12"/>
      <c r="O90" s="10">
        <f>IF($N90="","",IF($M90="Доллары",$N90*Справочники!$B$4,$N90))</f>
      </c>
      <c r="P90" s="8"/>
      <c r="Q90" s="8"/>
      <c r="R90" s="8"/>
      <c r="S90" s="10"/>
      <c r="T90" s="8"/>
      <c r="U90" s="8"/>
      <c r="V90" s="8"/>
      <c r="W90" s="11"/>
      <c r="X90" s="8"/>
      <c r="Y90" s="11"/>
      <c r="Z90" s="10"/>
      <c r="AA90" s="10"/>
      <c r="AB90" s="13">
        <f>IF(OR($Z90="",$AA90="",$Z90=0),"",($Z90-$AA90)/$Z90)</f>
      </c>
      <c r="AC90" s="8"/>
      <c r="AD90" s="11"/>
      <c r="AE90" s="8"/>
      <c r="AF90" s="8"/>
      <c r="AG90" s="8"/>
      <c r="AH90" s="11"/>
      <c r="AI90" s="10"/>
      <c r="AJ90" s="8"/>
      <c r="AK90" s="11"/>
      <c r="AL90" s="8">
        <f>IF($H90="","",IFERROR(VLOOKUP($H90,Справочники!$A$8:$B$22,2,0),""))</f>
      </c>
      <c r="AM90" s="8">
        <f>IF($AE90&lt;&gt;"",$AE90,IF(OR($H90="Выиграна",$H90="Договор заключён",$H90="Договор исполняется",$H90="Исполнен/закрыт"),"Выиграна",IF($H90="Проиграна","Проиграна",IF($H90="Отменена заказчиком","Отменена заказчиком",""))))</f>
      </c>
    </row>
    <row r="91" ht="18" customHeight="1" spans="1:39" x14ac:dyDescent="0.25">
      <c r="A91" s="7">
        <f>IF(COUNTA($B91:$K91)=0,"",COUNT($A$2:A90)+1)</f>
      </c>
      <c r="B91" s="8"/>
      <c r="C91" s="8"/>
      <c r="D91" s="8"/>
      <c r="E91" s="9"/>
      <c r="F91" s="10"/>
      <c r="G91" s="11"/>
      <c r="H91" s="8"/>
      <c r="I91" s="8"/>
      <c r="J91" s="8"/>
      <c r="K91" s="8"/>
      <c r="L91" s="8"/>
      <c r="M91" s="8"/>
      <c r="N91" s="12"/>
      <c r="O91" s="10">
        <f>IF($N91="","",IF($M91="Доллары",$N91*Справочники!$B$4,$N91))</f>
      </c>
      <c r="P91" s="8"/>
      <c r="Q91" s="8"/>
      <c r="R91" s="8"/>
      <c r="S91" s="10"/>
      <c r="T91" s="8"/>
      <c r="U91" s="8"/>
      <c r="V91" s="8"/>
      <c r="W91" s="11"/>
      <c r="X91" s="8"/>
      <c r="Y91" s="11"/>
      <c r="Z91" s="10"/>
      <c r="AA91" s="10"/>
      <c r="AB91" s="13">
        <f>IF(OR($Z91="",$AA91="",$Z91=0),"",($Z91-$AA91)/$Z91)</f>
      </c>
      <c r="AC91" s="8"/>
      <c r="AD91" s="11"/>
      <c r="AE91" s="8"/>
      <c r="AF91" s="8"/>
      <c r="AG91" s="8"/>
      <c r="AH91" s="11"/>
      <c r="AI91" s="10"/>
      <c r="AJ91" s="8"/>
      <c r="AK91" s="11"/>
      <c r="AL91" s="8">
        <f>IF($H91="","",IFERROR(VLOOKUP($H91,Справочники!$A$8:$B$22,2,0),""))</f>
      </c>
      <c r="AM91" s="8">
        <f>IF($AE91&lt;&gt;"",$AE91,IF(OR($H91="Выиграна",$H91="Договор заключён",$H91="Договор исполняется",$H91="Исполнен/закрыт"),"Выиграна",IF($H91="Проиграна","Проиграна",IF($H91="Отменена заказчиком","Отменена заказчиком",""))))</f>
      </c>
    </row>
    <row r="92" ht="18" customHeight="1" spans="1:39" x14ac:dyDescent="0.25">
      <c r="A92" s="7">
        <f>IF(COUNTA($B92:$K92)=0,"",COUNT($A$2:A91)+1)</f>
      </c>
      <c r="B92" s="8"/>
      <c r="C92" s="8"/>
      <c r="D92" s="8"/>
      <c r="E92" s="9"/>
      <c r="F92" s="10"/>
      <c r="G92" s="11"/>
      <c r="H92" s="8"/>
      <c r="I92" s="8"/>
      <c r="J92" s="8"/>
      <c r="K92" s="8"/>
      <c r="L92" s="8"/>
      <c r="M92" s="8"/>
      <c r="N92" s="12"/>
      <c r="O92" s="10">
        <f>IF($N92="","",IF($M92="Доллары",$N92*Справочники!$B$4,$N92))</f>
      </c>
      <c r="P92" s="8"/>
      <c r="Q92" s="8"/>
      <c r="R92" s="8"/>
      <c r="S92" s="10"/>
      <c r="T92" s="8"/>
      <c r="U92" s="8"/>
      <c r="V92" s="8"/>
      <c r="W92" s="11"/>
      <c r="X92" s="8"/>
      <c r="Y92" s="11"/>
      <c r="Z92" s="10"/>
      <c r="AA92" s="10"/>
      <c r="AB92" s="13">
        <f>IF(OR($Z92="",$AA92="",$Z92=0),"",($Z92-$AA92)/$Z92)</f>
      </c>
      <c r="AC92" s="8"/>
      <c r="AD92" s="11"/>
      <c r="AE92" s="8"/>
      <c r="AF92" s="8"/>
      <c r="AG92" s="8"/>
      <c r="AH92" s="11"/>
      <c r="AI92" s="10"/>
      <c r="AJ92" s="8"/>
      <c r="AK92" s="11"/>
      <c r="AL92" s="8">
        <f>IF($H92="","",IFERROR(VLOOKUP($H92,Справочники!$A$8:$B$22,2,0),""))</f>
      </c>
      <c r="AM92" s="8">
        <f>IF($AE92&lt;&gt;"",$AE92,IF(OR($H92="Выиграна",$H92="Договор заключён",$H92="Договор исполняется",$H92="Исполнен/закрыт"),"Выиграна",IF($H92="Проиграна","Проиграна",IF($H92="Отменена заказчиком","Отменена заказчиком",""))))</f>
      </c>
    </row>
    <row r="93" ht="18" customHeight="1" spans="1:39" x14ac:dyDescent="0.25">
      <c r="A93" s="7">
        <f>IF(COUNTA($B93:$K93)=0,"",COUNT($A$2:A92)+1)</f>
      </c>
      <c r="B93" s="8"/>
      <c r="C93" s="8"/>
      <c r="D93" s="8"/>
      <c r="E93" s="9"/>
      <c r="F93" s="10"/>
      <c r="G93" s="11"/>
      <c r="H93" s="8"/>
      <c r="I93" s="8"/>
      <c r="J93" s="8"/>
      <c r="K93" s="8"/>
      <c r="L93" s="8"/>
      <c r="M93" s="8"/>
      <c r="N93" s="12"/>
      <c r="O93" s="10">
        <f>IF($N93="","",IF($M93="Доллары",$N93*Справочники!$B$4,$N93))</f>
      </c>
      <c r="P93" s="8"/>
      <c r="Q93" s="8"/>
      <c r="R93" s="8"/>
      <c r="S93" s="10"/>
      <c r="T93" s="8"/>
      <c r="U93" s="8"/>
      <c r="V93" s="8"/>
      <c r="W93" s="11"/>
      <c r="X93" s="8"/>
      <c r="Y93" s="11"/>
      <c r="Z93" s="10"/>
      <c r="AA93" s="10"/>
      <c r="AB93" s="13">
        <f>IF(OR($Z93="",$AA93="",$Z93=0),"",($Z93-$AA93)/$Z93)</f>
      </c>
      <c r="AC93" s="8"/>
      <c r="AD93" s="11"/>
      <c r="AE93" s="8"/>
      <c r="AF93" s="8"/>
      <c r="AG93" s="8"/>
      <c r="AH93" s="11"/>
      <c r="AI93" s="10"/>
      <c r="AJ93" s="8"/>
      <c r="AK93" s="11"/>
      <c r="AL93" s="8">
        <f>IF($H93="","",IFERROR(VLOOKUP($H93,Справочники!$A$8:$B$22,2,0),""))</f>
      </c>
      <c r="AM93" s="8">
        <f>IF($AE93&lt;&gt;"",$AE93,IF(OR($H93="Выиграна",$H93="Договор заключён",$H93="Договор исполняется",$H93="Исполнен/закрыт"),"Выиграна",IF($H93="Проиграна","Проиграна",IF($H93="Отменена заказчиком","Отменена заказчиком",""))))</f>
      </c>
    </row>
    <row r="94" ht="18" customHeight="1" spans="1:39" x14ac:dyDescent="0.25">
      <c r="A94" s="7">
        <f>IF(COUNTA($B94:$K94)=0,"",COUNT($A$2:A93)+1)</f>
      </c>
      <c r="B94" s="8"/>
      <c r="C94" s="8"/>
      <c r="D94" s="8"/>
      <c r="E94" s="9"/>
      <c r="F94" s="10"/>
      <c r="G94" s="11"/>
      <c r="H94" s="8"/>
      <c r="I94" s="8"/>
      <c r="J94" s="8"/>
      <c r="K94" s="8"/>
      <c r="L94" s="8"/>
      <c r="M94" s="8"/>
      <c r="N94" s="12"/>
      <c r="O94" s="10">
        <f>IF($N94="","",IF($M94="Доллары",$N94*Справочники!$B$4,$N94))</f>
      </c>
      <c r="P94" s="8"/>
      <c r="Q94" s="8"/>
      <c r="R94" s="8"/>
      <c r="S94" s="10"/>
      <c r="T94" s="8"/>
      <c r="U94" s="8"/>
      <c r="V94" s="8"/>
      <c r="W94" s="11"/>
      <c r="X94" s="8"/>
      <c r="Y94" s="11"/>
      <c r="Z94" s="10"/>
      <c r="AA94" s="10"/>
      <c r="AB94" s="13">
        <f>IF(OR($Z94="",$AA94="",$Z94=0),"",($Z94-$AA94)/$Z94)</f>
      </c>
      <c r="AC94" s="8"/>
      <c r="AD94" s="11"/>
      <c r="AE94" s="8"/>
      <c r="AF94" s="8"/>
      <c r="AG94" s="8"/>
      <c r="AH94" s="11"/>
      <c r="AI94" s="10"/>
      <c r="AJ94" s="8"/>
      <c r="AK94" s="11"/>
      <c r="AL94" s="8">
        <f>IF($H94="","",IFERROR(VLOOKUP($H94,Справочники!$A$8:$B$22,2,0),""))</f>
      </c>
      <c r="AM94" s="8">
        <f>IF($AE94&lt;&gt;"",$AE94,IF(OR($H94="Выиграна",$H94="Договор заключён",$H94="Договор исполняется",$H94="Исполнен/закрыт"),"Выиграна",IF($H94="Проиграна","Проиграна",IF($H94="Отменена заказчиком","Отменена заказчиком",""))))</f>
      </c>
    </row>
    <row r="95" ht="18" customHeight="1" spans="1:39" x14ac:dyDescent="0.25">
      <c r="A95" s="7">
        <f>IF(COUNTA($B95:$K95)=0,"",COUNT($A$2:A94)+1)</f>
      </c>
      <c r="B95" s="8"/>
      <c r="C95" s="8"/>
      <c r="D95" s="8"/>
      <c r="E95" s="9"/>
      <c r="F95" s="10"/>
      <c r="G95" s="11"/>
      <c r="H95" s="8"/>
      <c r="I95" s="8"/>
      <c r="J95" s="8"/>
      <c r="K95" s="8"/>
      <c r="L95" s="8"/>
      <c r="M95" s="8"/>
      <c r="N95" s="12"/>
      <c r="O95" s="10">
        <f>IF($N95="","",IF($M95="Доллары",$N95*Справочники!$B$4,$N95))</f>
      </c>
      <c r="P95" s="8"/>
      <c r="Q95" s="8"/>
      <c r="R95" s="8"/>
      <c r="S95" s="10"/>
      <c r="T95" s="8"/>
      <c r="U95" s="8"/>
      <c r="V95" s="8"/>
      <c r="W95" s="11"/>
      <c r="X95" s="8"/>
      <c r="Y95" s="11"/>
      <c r="Z95" s="10"/>
      <c r="AA95" s="10"/>
      <c r="AB95" s="13">
        <f>IF(OR($Z95="",$AA95="",$Z95=0),"",($Z95-$AA95)/$Z95)</f>
      </c>
      <c r="AC95" s="8"/>
      <c r="AD95" s="11"/>
      <c r="AE95" s="8"/>
      <c r="AF95" s="8"/>
      <c r="AG95" s="8"/>
      <c r="AH95" s="11"/>
      <c r="AI95" s="10"/>
      <c r="AJ95" s="8"/>
      <c r="AK95" s="11"/>
      <c r="AL95" s="8">
        <f>IF($H95="","",IFERROR(VLOOKUP($H95,Справочники!$A$8:$B$22,2,0),""))</f>
      </c>
      <c r="AM95" s="8">
        <f>IF($AE95&lt;&gt;"",$AE95,IF(OR($H95="Выиграна",$H95="Договор заключён",$H95="Договор исполняется",$H95="Исполнен/закрыт"),"Выиграна",IF($H95="Проиграна","Проиграна",IF($H95="Отменена заказчиком","Отменена заказчиком",""))))</f>
      </c>
    </row>
    <row r="96" ht="18" customHeight="1" spans="1:39" x14ac:dyDescent="0.25">
      <c r="A96" s="7">
        <f>IF(COUNTA($B96:$K96)=0,"",COUNT($A$2:A95)+1)</f>
      </c>
      <c r="B96" s="8"/>
      <c r="C96" s="8"/>
      <c r="D96" s="8"/>
      <c r="E96" s="9"/>
      <c r="F96" s="10"/>
      <c r="G96" s="11"/>
      <c r="H96" s="8"/>
      <c r="I96" s="8"/>
      <c r="J96" s="8"/>
      <c r="K96" s="8"/>
      <c r="L96" s="8"/>
      <c r="M96" s="8"/>
      <c r="N96" s="12"/>
      <c r="O96" s="10">
        <f>IF($N96="","",IF($M96="Доллары",$N96*Справочники!$B$4,$N96))</f>
      </c>
      <c r="P96" s="8"/>
      <c r="Q96" s="8"/>
      <c r="R96" s="8"/>
      <c r="S96" s="10"/>
      <c r="T96" s="8"/>
      <c r="U96" s="8"/>
      <c r="V96" s="8"/>
      <c r="W96" s="11"/>
      <c r="X96" s="8"/>
      <c r="Y96" s="11"/>
      <c r="Z96" s="10"/>
      <c r="AA96" s="10"/>
      <c r="AB96" s="13">
        <f>IF(OR($Z96="",$AA96="",$Z96=0),"",($Z96-$AA96)/$Z96)</f>
      </c>
      <c r="AC96" s="8"/>
      <c r="AD96" s="11"/>
      <c r="AE96" s="8"/>
      <c r="AF96" s="8"/>
      <c r="AG96" s="8"/>
      <c r="AH96" s="11"/>
      <c r="AI96" s="10"/>
      <c r="AJ96" s="8"/>
      <c r="AK96" s="11"/>
      <c r="AL96" s="8">
        <f>IF($H96="","",IFERROR(VLOOKUP($H96,Справочники!$A$8:$B$22,2,0),""))</f>
      </c>
      <c r="AM96" s="8">
        <f>IF($AE96&lt;&gt;"",$AE96,IF(OR($H96="Выиграна",$H96="Договор заключён",$H96="Договор исполняется",$H96="Исполнен/закрыт"),"Выиграна",IF($H96="Проиграна","Проиграна",IF($H96="Отменена заказчиком","Отменена заказчиком",""))))</f>
      </c>
    </row>
    <row r="97" ht="18" customHeight="1" spans="1:39" x14ac:dyDescent="0.25">
      <c r="A97" s="7">
        <f>IF(COUNTA($B97:$K97)=0,"",COUNT($A$2:A96)+1)</f>
      </c>
      <c r="B97" s="8"/>
      <c r="C97" s="8"/>
      <c r="D97" s="8"/>
      <c r="E97" s="9"/>
      <c r="F97" s="10"/>
      <c r="G97" s="11"/>
      <c r="H97" s="8"/>
      <c r="I97" s="8"/>
      <c r="J97" s="8"/>
      <c r="K97" s="8"/>
      <c r="L97" s="8"/>
      <c r="M97" s="8"/>
      <c r="N97" s="12"/>
      <c r="O97" s="10">
        <f>IF($N97="","",IF($M97="Доллары",$N97*Справочники!$B$4,$N97))</f>
      </c>
      <c r="P97" s="8"/>
      <c r="Q97" s="8"/>
      <c r="R97" s="8"/>
      <c r="S97" s="10"/>
      <c r="T97" s="8"/>
      <c r="U97" s="8"/>
      <c r="V97" s="8"/>
      <c r="W97" s="11"/>
      <c r="X97" s="8"/>
      <c r="Y97" s="11"/>
      <c r="Z97" s="10"/>
      <c r="AA97" s="10"/>
      <c r="AB97" s="13">
        <f>IF(OR($Z97="",$AA97="",$Z97=0),"",($Z97-$AA97)/$Z97)</f>
      </c>
      <c r="AC97" s="8"/>
      <c r="AD97" s="11"/>
      <c r="AE97" s="8"/>
      <c r="AF97" s="8"/>
      <c r="AG97" s="8"/>
      <c r="AH97" s="11"/>
      <c r="AI97" s="10"/>
      <c r="AJ97" s="8"/>
      <c r="AK97" s="11"/>
      <c r="AL97" s="8">
        <f>IF($H97="","",IFERROR(VLOOKUP($H97,Справочники!$A$8:$B$22,2,0),""))</f>
      </c>
      <c r="AM97" s="8">
        <f>IF($AE97&lt;&gt;"",$AE97,IF(OR($H97="Выиграна",$H97="Договор заключён",$H97="Договор исполняется",$H97="Исполнен/закрыт"),"Выиграна",IF($H97="Проиграна","Проиграна",IF($H97="Отменена заказчиком","Отменена заказчиком",""))))</f>
      </c>
    </row>
    <row r="98" ht="18" customHeight="1" spans="1:39" x14ac:dyDescent="0.25">
      <c r="A98" s="7">
        <f>IF(COUNTA($B98:$K98)=0,"",COUNT($A$2:A97)+1)</f>
      </c>
      <c r="B98" s="8"/>
      <c r="C98" s="8"/>
      <c r="D98" s="8"/>
      <c r="E98" s="9"/>
      <c r="F98" s="10"/>
      <c r="G98" s="11"/>
      <c r="H98" s="8"/>
      <c r="I98" s="8"/>
      <c r="J98" s="8"/>
      <c r="K98" s="8"/>
      <c r="L98" s="8"/>
      <c r="M98" s="8"/>
      <c r="N98" s="12"/>
      <c r="O98" s="10">
        <f>IF($N98="","",IF($M98="Доллары",$N98*Справочники!$B$4,$N98))</f>
      </c>
      <c r="P98" s="8"/>
      <c r="Q98" s="8"/>
      <c r="R98" s="8"/>
      <c r="S98" s="10"/>
      <c r="T98" s="8"/>
      <c r="U98" s="8"/>
      <c r="V98" s="8"/>
      <c r="W98" s="11"/>
      <c r="X98" s="8"/>
      <c r="Y98" s="11"/>
      <c r="Z98" s="10"/>
      <c r="AA98" s="10"/>
      <c r="AB98" s="13">
        <f>IF(OR($Z98="",$AA98="",$Z98=0),"",($Z98-$AA98)/$Z98)</f>
      </c>
      <c r="AC98" s="8"/>
      <c r="AD98" s="11"/>
      <c r="AE98" s="8"/>
      <c r="AF98" s="8"/>
      <c r="AG98" s="8"/>
      <c r="AH98" s="11"/>
      <c r="AI98" s="10"/>
      <c r="AJ98" s="8"/>
      <c r="AK98" s="11"/>
      <c r="AL98" s="8">
        <f>IF($H98="","",IFERROR(VLOOKUP($H98,Справочники!$A$8:$B$22,2,0),""))</f>
      </c>
      <c r="AM98" s="8">
        <f>IF($AE98&lt;&gt;"",$AE98,IF(OR($H98="Выиграна",$H98="Договор заключён",$H98="Договор исполняется",$H98="Исполнен/закрыт"),"Выиграна",IF($H98="Проиграна","Проиграна",IF($H98="Отменена заказчиком","Отменена заказчиком",""))))</f>
      </c>
    </row>
    <row r="99" ht="18" customHeight="1" spans="1:39" x14ac:dyDescent="0.25">
      <c r="A99" s="7">
        <f>IF(COUNTA($B99:$K99)=0,"",COUNT($A$2:A98)+1)</f>
      </c>
      <c r="B99" s="8"/>
      <c r="C99" s="8"/>
      <c r="D99" s="8"/>
      <c r="E99" s="9"/>
      <c r="F99" s="10"/>
      <c r="G99" s="11"/>
      <c r="H99" s="8"/>
      <c r="I99" s="8"/>
      <c r="J99" s="8"/>
      <c r="K99" s="8"/>
      <c r="L99" s="8"/>
      <c r="M99" s="8"/>
      <c r="N99" s="12"/>
      <c r="O99" s="10">
        <f>IF($N99="","",IF($M99="Доллары",$N99*Справочники!$B$4,$N99))</f>
      </c>
      <c r="P99" s="8"/>
      <c r="Q99" s="8"/>
      <c r="R99" s="8"/>
      <c r="S99" s="10"/>
      <c r="T99" s="8"/>
      <c r="U99" s="8"/>
      <c r="V99" s="8"/>
      <c r="W99" s="11"/>
      <c r="X99" s="8"/>
      <c r="Y99" s="11"/>
      <c r="Z99" s="10"/>
      <c r="AA99" s="10"/>
      <c r="AB99" s="13">
        <f>IF(OR($Z99="",$AA99="",$Z99=0),"",($Z99-$AA99)/$Z99)</f>
      </c>
      <c r="AC99" s="8"/>
      <c r="AD99" s="11"/>
      <c r="AE99" s="8"/>
      <c r="AF99" s="8"/>
      <c r="AG99" s="8"/>
      <c r="AH99" s="11"/>
      <c r="AI99" s="10"/>
      <c r="AJ99" s="8"/>
      <c r="AK99" s="11"/>
      <c r="AL99" s="8">
        <f>IF($H99="","",IFERROR(VLOOKUP($H99,Справочники!$A$8:$B$22,2,0),""))</f>
      </c>
      <c r="AM99" s="8">
        <f>IF($AE99&lt;&gt;"",$AE99,IF(OR($H99="Выиграна",$H99="Договор заключён",$H99="Договор исполняется",$H99="Исполнен/закрыт"),"Выиграна",IF($H99="Проиграна","Проиграна",IF($H99="Отменена заказчиком","Отменена заказчиком",""))))</f>
      </c>
    </row>
    <row r="100" ht="18" customHeight="1" spans="1:39" x14ac:dyDescent="0.25">
      <c r="A100" s="7">
        <f>IF(COUNTA($B100:$K100)=0,"",COUNT($A$2:A99)+1)</f>
      </c>
      <c r="B100" s="8"/>
      <c r="C100" s="8"/>
      <c r="D100" s="8"/>
      <c r="E100" s="9"/>
      <c r="F100" s="10"/>
      <c r="G100" s="11"/>
      <c r="H100" s="8"/>
      <c r="I100" s="8"/>
      <c r="J100" s="8"/>
      <c r="K100" s="8"/>
      <c r="L100" s="8"/>
      <c r="M100" s="8"/>
      <c r="N100" s="12"/>
      <c r="O100" s="10">
        <f>IF($N100="","",IF($M100="Доллары",$N100*Справочники!$B$4,$N100))</f>
      </c>
      <c r="P100" s="8"/>
      <c r="Q100" s="8"/>
      <c r="R100" s="8"/>
      <c r="S100" s="10"/>
      <c r="T100" s="8"/>
      <c r="U100" s="8"/>
      <c r="V100" s="8"/>
      <c r="W100" s="11"/>
      <c r="X100" s="8"/>
      <c r="Y100" s="11"/>
      <c r="Z100" s="10"/>
      <c r="AA100" s="10"/>
      <c r="AB100" s="13">
        <f>IF(OR($Z100="",$AA100="",$Z100=0),"",($Z100-$AA100)/$Z100)</f>
      </c>
      <c r="AC100" s="8"/>
      <c r="AD100" s="11"/>
      <c r="AE100" s="8"/>
      <c r="AF100" s="8"/>
      <c r="AG100" s="8"/>
      <c r="AH100" s="11"/>
      <c r="AI100" s="10"/>
      <c r="AJ100" s="8"/>
      <c r="AK100" s="11"/>
      <c r="AL100" s="8">
        <f>IF($H100="","",IFERROR(VLOOKUP($H100,Справочники!$A$8:$B$22,2,0),""))</f>
      </c>
      <c r="AM100" s="8">
        <f>IF($AE100&lt;&gt;"",$AE100,IF(OR($H100="Выиграна",$H100="Договор заключён",$H100="Договор исполняется",$H100="Исполнен/закрыт"),"Выиграна",IF($H100="Проиграна","Проиграна",IF($H100="Отменена заказчиком","Отменена заказчиком",""))))</f>
      </c>
    </row>
    <row r="101" ht="18" customHeight="1" spans="1:39" x14ac:dyDescent="0.25">
      <c r="A101" s="7">
        <f>IF(COUNTA($B101:$K101)=0,"",COUNT($A$2:A100)+1)</f>
      </c>
      <c r="B101" s="8"/>
      <c r="C101" s="8"/>
      <c r="D101" s="8"/>
      <c r="E101" s="9"/>
      <c r="F101" s="10"/>
      <c r="G101" s="11"/>
      <c r="H101" s="8"/>
      <c r="I101" s="8"/>
      <c r="J101" s="8"/>
      <c r="K101" s="8"/>
      <c r="L101" s="8"/>
      <c r="M101" s="8"/>
      <c r="N101" s="12"/>
      <c r="O101" s="10">
        <f>IF($N101="","",IF($M101="Доллары",$N101*Справочники!$B$4,$N101))</f>
      </c>
      <c r="P101" s="8"/>
      <c r="Q101" s="8"/>
      <c r="R101" s="8"/>
      <c r="S101" s="10"/>
      <c r="T101" s="8"/>
      <c r="U101" s="8"/>
      <c r="V101" s="8"/>
      <c r="W101" s="11"/>
      <c r="X101" s="8"/>
      <c r="Y101" s="11"/>
      <c r="Z101" s="10"/>
      <c r="AA101" s="10"/>
      <c r="AB101" s="13">
        <f>IF(OR($Z101="",$AA101="",$Z101=0),"",($Z101-$AA101)/$Z101)</f>
      </c>
      <c r="AC101" s="8"/>
      <c r="AD101" s="11"/>
      <c r="AE101" s="8"/>
      <c r="AF101" s="8"/>
      <c r="AG101" s="8"/>
      <c r="AH101" s="11"/>
      <c r="AI101" s="10"/>
      <c r="AJ101" s="8"/>
      <c r="AK101" s="11"/>
      <c r="AL101" s="8">
        <f>IF($H101="","",IFERROR(VLOOKUP($H101,Справочники!$A$8:$B$22,2,0),""))</f>
      </c>
      <c r="AM101" s="8">
        <f>IF($AE101&lt;&gt;"",$AE101,IF(OR($H101="Выиграна",$H101="Договор заключён",$H101="Договор исполняется",$H101="Исполнен/закрыт"),"Выиграна",IF($H101="Проиграна","Проиграна",IF($H101="Отменена заказчиком","Отменена заказчиком",""))))</f>
      </c>
    </row>
    <row r="102" ht="18" customHeight="1" spans="1:39" x14ac:dyDescent="0.25">
      <c r="A102" s="7">
        <f>IF(COUNTA($B102:$K102)=0,"",COUNT($A$2:A101)+1)</f>
      </c>
      <c r="B102" s="8"/>
      <c r="C102" s="8"/>
      <c r="D102" s="8"/>
      <c r="E102" s="9"/>
      <c r="F102" s="10"/>
      <c r="G102" s="11"/>
      <c r="H102" s="8"/>
      <c r="I102" s="8"/>
      <c r="J102" s="8"/>
      <c r="K102" s="8"/>
      <c r="L102" s="8"/>
      <c r="M102" s="8"/>
      <c r="N102" s="12"/>
      <c r="O102" s="10">
        <f>IF($N102="","",IF($M102="Доллары",$N102*Справочники!$B$4,$N102))</f>
      </c>
      <c r="P102" s="8"/>
      <c r="Q102" s="8"/>
      <c r="R102" s="8"/>
      <c r="S102" s="10"/>
      <c r="T102" s="8"/>
      <c r="U102" s="8"/>
      <c r="V102" s="8"/>
      <c r="W102" s="11"/>
      <c r="X102" s="8"/>
      <c r="Y102" s="11"/>
      <c r="Z102" s="10"/>
      <c r="AA102" s="10"/>
      <c r="AB102" s="13">
        <f>IF(OR($Z102="",$AA102="",$Z102=0),"",($Z102-$AA102)/$Z102)</f>
      </c>
      <c r="AC102" s="8"/>
      <c r="AD102" s="11"/>
      <c r="AE102" s="8"/>
      <c r="AF102" s="8"/>
      <c r="AG102" s="8"/>
      <c r="AH102" s="11"/>
      <c r="AI102" s="10"/>
      <c r="AJ102" s="8"/>
      <c r="AK102" s="11"/>
      <c r="AL102" s="8">
        <f>IF($H102="","",IFERROR(VLOOKUP($H102,Справочники!$A$8:$B$22,2,0),""))</f>
      </c>
      <c r="AM102" s="8">
        <f>IF($AE102&lt;&gt;"",$AE102,IF(OR($H102="Выиграна",$H102="Договор заключён",$H102="Договор исполняется",$H102="Исполнен/закрыт"),"Выиграна",IF($H102="Проиграна","Проиграна",IF($H102="Отменена заказчиком","Отменена заказчиком",""))))</f>
      </c>
    </row>
    <row r="103" ht="18" customHeight="1" spans="1:39" x14ac:dyDescent="0.25">
      <c r="A103" s="7">
        <f>IF(COUNTA($B103:$K103)=0,"",COUNT($A$2:A102)+1)</f>
      </c>
      <c r="B103" s="8"/>
      <c r="C103" s="8"/>
      <c r="D103" s="8"/>
      <c r="E103" s="9"/>
      <c r="F103" s="10"/>
      <c r="G103" s="11"/>
      <c r="H103" s="8"/>
      <c r="I103" s="8"/>
      <c r="J103" s="8"/>
      <c r="K103" s="8"/>
      <c r="L103" s="8"/>
      <c r="M103" s="8"/>
      <c r="N103" s="12"/>
      <c r="O103" s="10">
        <f>IF($N103="","",IF($M103="Доллары",$N103*Справочники!$B$4,$N103))</f>
      </c>
      <c r="P103" s="8"/>
      <c r="Q103" s="8"/>
      <c r="R103" s="8"/>
      <c r="S103" s="10"/>
      <c r="T103" s="8"/>
      <c r="U103" s="8"/>
      <c r="V103" s="8"/>
      <c r="W103" s="11"/>
      <c r="X103" s="8"/>
      <c r="Y103" s="11"/>
      <c r="Z103" s="10"/>
      <c r="AA103" s="10"/>
      <c r="AB103" s="13">
        <f>IF(OR($Z103="",$AA103="",$Z103=0),"",($Z103-$AA103)/$Z103)</f>
      </c>
      <c r="AC103" s="8"/>
      <c r="AD103" s="11"/>
      <c r="AE103" s="8"/>
      <c r="AF103" s="8"/>
      <c r="AG103" s="8"/>
      <c r="AH103" s="11"/>
      <c r="AI103" s="10"/>
      <c r="AJ103" s="8"/>
      <c r="AK103" s="11"/>
      <c r="AL103" s="8">
        <f>IF($H103="","",IFERROR(VLOOKUP($H103,Справочники!$A$8:$B$22,2,0),""))</f>
      </c>
      <c r="AM103" s="8">
        <f>IF($AE103&lt;&gt;"",$AE103,IF(OR($H103="Выиграна",$H103="Договор заключён",$H103="Договор исполняется",$H103="Исполнен/закрыт"),"Выиграна",IF($H103="Проиграна","Проиграна",IF($H103="Отменена заказчиком","Отменена заказчиком",""))))</f>
      </c>
    </row>
    <row r="104" ht="18" customHeight="1" spans="1:39" x14ac:dyDescent="0.25">
      <c r="A104" s="7">
        <f>IF(COUNTA($B104:$K104)=0,"",COUNT($A$2:A103)+1)</f>
      </c>
      <c r="B104" s="8"/>
      <c r="C104" s="8"/>
      <c r="D104" s="8"/>
      <c r="E104" s="9"/>
      <c r="F104" s="10"/>
      <c r="G104" s="11"/>
      <c r="H104" s="8"/>
      <c r="I104" s="8"/>
      <c r="J104" s="8"/>
      <c r="K104" s="8"/>
      <c r="L104" s="8"/>
      <c r="M104" s="8"/>
      <c r="N104" s="12"/>
      <c r="O104" s="10">
        <f>IF($N104="","",IF($M104="Доллары",$N104*Справочники!$B$4,$N104))</f>
      </c>
      <c r="P104" s="8"/>
      <c r="Q104" s="8"/>
      <c r="R104" s="8"/>
      <c r="S104" s="10"/>
      <c r="T104" s="8"/>
      <c r="U104" s="8"/>
      <c r="V104" s="8"/>
      <c r="W104" s="11"/>
      <c r="X104" s="8"/>
      <c r="Y104" s="11"/>
      <c r="Z104" s="10"/>
      <c r="AA104" s="10"/>
      <c r="AB104" s="13">
        <f>IF(OR($Z104="",$AA104="",$Z104=0),"",($Z104-$AA104)/$Z104)</f>
      </c>
      <c r="AC104" s="8"/>
      <c r="AD104" s="11"/>
      <c r="AE104" s="8"/>
      <c r="AF104" s="8"/>
      <c r="AG104" s="8"/>
      <c r="AH104" s="11"/>
      <c r="AI104" s="10"/>
      <c r="AJ104" s="8"/>
      <c r="AK104" s="11"/>
      <c r="AL104" s="8">
        <f>IF($H104="","",IFERROR(VLOOKUP($H104,Справочники!$A$8:$B$22,2,0),""))</f>
      </c>
      <c r="AM104" s="8">
        <f>IF($AE104&lt;&gt;"",$AE104,IF(OR($H104="Выиграна",$H104="Договор заключён",$H104="Договор исполняется",$H104="Исполнен/закрыт"),"Выиграна",IF($H104="Проиграна","Проиграна",IF($H104="Отменена заказчиком","Отменена заказчиком",""))))</f>
      </c>
    </row>
    <row r="105" ht="18" customHeight="1" spans="1:39" x14ac:dyDescent="0.25">
      <c r="A105" s="7">
        <f>IF(COUNTA($B105:$K105)=0,"",COUNT($A$2:A104)+1)</f>
      </c>
      <c r="B105" s="8"/>
      <c r="C105" s="8"/>
      <c r="D105" s="8"/>
      <c r="E105" s="9"/>
      <c r="F105" s="10"/>
      <c r="G105" s="11"/>
      <c r="H105" s="8"/>
      <c r="I105" s="8"/>
      <c r="J105" s="8"/>
      <c r="K105" s="8"/>
      <c r="L105" s="8"/>
      <c r="M105" s="8"/>
      <c r="N105" s="12"/>
      <c r="O105" s="10">
        <f>IF($N105="","",IF($M105="Доллары",$N105*Справочники!$B$4,$N105))</f>
      </c>
      <c r="P105" s="8"/>
      <c r="Q105" s="8"/>
      <c r="R105" s="8"/>
      <c r="S105" s="10"/>
      <c r="T105" s="8"/>
      <c r="U105" s="8"/>
      <c r="V105" s="8"/>
      <c r="W105" s="11"/>
      <c r="X105" s="8"/>
      <c r="Y105" s="11"/>
      <c r="Z105" s="10"/>
      <c r="AA105" s="10"/>
      <c r="AB105" s="13">
        <f>IF(OR($Z105="",$AA105="",$Z105=0),"",($Z105-$AA105)/$Z105)</f>
      </c>
      <c r="AC105" s="8"/>
      <c r="AD105" s="11"/>
      <c r="AE105" s="8"/>
      <c r="AF105" s="8"/>
      <c r="AG105" s="8"/>
      <c r="AH105" s="11"/>
      <c r="AI105" s="10"/>
      <c r="AJ105" s="8"/>
      <c r="AK105" s="11"/>
      <c r="AL105" s="8">
        <f>IF($H105="","",IFERROR(VLOOKUP($H105,Справочники!$A$8:$B$22,2,0),""))</f>
      </c>
      <c r="AM105" s="8">
        <f>IF($AE105&lt;&gt;"",$AE105,IF(OR($H105="Выиграна",$H105="Договор заключён",$H105="Договор исполняется",$H105="Исполнен/закрыт"),"Выиграна",IF($H105="Проиграна","Проиграна",IF($H105="Отменена заказчиком","Отменена заказчиком",""))))</f>
      </c>
    </row>
    <row r="106" ht="18" customHeight="1" spans="1:39" x14ac:dyDescent="0.25">
      <c r="A106" s="7">
        <f>IF(COUNTA($B106:$K106)=0,"",COUNT($A$2:A105)+1)</f>
      </c>
      <c r="B106" s="8"/>
      <c r="C106" s="8"/>
      <c r="D106" s="8"/>
      <c r="E106" s="9"/>
      <c r="F106" s="10"/>
      <c r="G106" s="11"/>
      <c r="H106" s="8"/>
      <c r="I106" s="8"/>
      <c r="J106" s="8"/>
      <c r="K106" s="8"/>
      <c r="L106" s="8"/>
      <c r="M106" s="8"/>
      <c r="N106" s="12"/>
      <c r="O106" s="10">
        <f>IF($N106="","",IF($M106="Доллары",$N106*Справочники!$B$4,$N106))</f>
      </c>
      <c r="P106" s="8"/>
      <c r="Q106" s="8"/>
      <c r="R106" s="8"/>
      <c r="S106" s="10"/>
      <c r="T106" s="8"/>
      <c r="U106" s="8"/>
      <c r="V106" s="8"/>
      <c r="W106" s="11"/>
      <c r="X106" s="8"/>
      <c r="Y106" s="11"/>
      <c r="Z106" s="10"/>
      <c r="AA106" s="10"/>
      <c r="AB106" s="13">
        <f>IF(OR($Z106="",$AA106="",$Z106=0),"",($Z106-$AA106)/$Z106)</f>
      </c>
      <c r="AC106" s="8"/>
      <c r="AD106" s="11"/>
      <c r="AE106" s="8"/>
      <c r="AF106" s="8"/>
      <c r="AG106" s="8"/>
      <c r="AH106" s="11"/>
      <c r="AI106" s="10"/>
      <c r="AJ106" s="8"/>
      <c r="AK106" s="11"/>
      <c r="AL106" s="8">
        <f>IF($H106="","",IFERROR(VLOOKUP($H106,Справочники!$A$8:$B$22,2,0),""))</f>
      </c>
      <c r="AM106" s="8">
        <f>IF($AE106&lt;&gt;"",$AE106,IF(OR($H106="Выиграна",$H106="Договор заключён",$H106="Договор исполняется",$H106="Исполнен/закрыт"),"Выиграна",IF($H106="Проиграна","Проиграна",IF($H106="Отменена заказчиком","Отменена заказчиком",""))))</f>
      </c>
    </row>
    <row r="107" ht="18" customHeight="1" spans="1:39" x14ac:dyDescent="0.25">
      <c r="A107" s="7">
        <f>IF(COUNTA($B107:$K107)=0,"",COUNT($A$2:A106)+1)</f>
      </c>
      <c r="B107" s="8"/>
      <c r="C107" s="8"/>
      <c r="D107" s="8"/>
      <c r="E107" s="9"/>
      <c r="F107" s="10"/>
      <c r="G107" s="11"/>
      <c r="H107" s="8"/>
      <c r="I107" s="8"/>
      <c r="J107" s="8"/>
      <c r="K107" s="8"/>
      <c r="L107" s="8"/>
      <c r="M107" s="8"/>
      <c r="N107" s="12"/>
      <c r="O107" s="10">
        <f>IF($N107="","",IF($M107="Доллары",$N107*Справочники!$B$4,$N107))</f>
      </c>
      <c r="P107" s="8"/>
      <c r="Q107" s="8"/>
      <c r="R107" s="8"/>
      <c r="S107" s="10"/>
      <c r="T107" s="8"/>
      <c r="U107" s="8"/>
      <c r="V107" s="8"/>
      <c r="W107" s="11"/>
      <c r="X107" s="8"/>
      <c r="Y107" s="11"/>
      <c r="Z107" s="10"/>
      <c r="AA107" s="10"/>
      <c r="AB107" s="13">
        <f>IF(OR($Z107="",$AA107="",$Z107=0),"",($Z107-$AA107)/$Z107)</f>
      </c>
      <c r="AC107" s="8"/>
      <c r="AD107" s="11"/>
      <c r="AE107" s="8"/>
      <c r="AF107" s="8"/>
      <c r="AG107" s="8"/>
      <c r="AH107" s="11"/>
      <c r="AI107" s="10"/>
      <c r="AJ107" s="8"/>
      <c r="AK107" s="11"/>
      <c r="AL107" s="8">
        <f>IF($H107="","",IFERROR(VLOOKUP($H107,Справочники!$A$8:$B$22,2,0),""))</f>
      </c>
      <c r="AM107" s="8">
        <f>IF($AE107&lt;&gt;"",$AE107,IF(OR($H107="Выиграна",$H107="Договор заключён",$H107="Договор исполняется",$H107="Исполнен/закрыт"),"Выиграна",IF($H107="Проиграна","Проиграна",IF($H107="Отменена заказчиком","Отменена заказчиком",""))))</f>
      </c>
    </row>
    <row r="108" ht="18" customHeight="1" spans="1:39" x14ac:dyDescent="0.25">
      <c r="A108" s="7">
        <f>IF(COUNTA($B108:$K108)=0,"",COUNT($A$2:A107)+1)</f>
      </c>
      <c r="B108" s="8"/>
      <c r="C108" s="8"/>
      <c r="D108" s="8"/>
      <c r="E108" s="9"/>
      <c r="F108" s="10"/>
      <c r="G108" s="11"/>
      <c r="H108" s="8"/>
      <c r="I108" s="8"/>
      <c r="J108" s="8"/>
      <c r="K108" s="8"/>
      <c r="L108" s="8"/>
      <c r="M108" s="8"/>
      <c r="N108" s="12"/>
      <c r="O108" s="10">
        <f>IF($N108="","",IF($M108="Доллары",$N108*Справочники!$B$4,$N108))</f>
      </c>
      <c r="P108" s="8"/>
      <c r="Q108" s="8"/>
      <c r="R108" s="8"/>
      <c r="S108" s="10"/>
      <c r="T108" s="8"/>
      <c r="U108" s="8"/>
      <c r="V108" s="8"/>
      <c r="W108" s="11"/>
      <c r="X108" s="8"/>
      <c r="Y108" s="11"/>
      <c r="Z108" s="10"/>
      <c r="AA108" s="10"/>
      <c r="AB108" s="13">
        <f>IF(OR($Z108="",$AA108="",$Z108=0),"",($Z108-$AA108)/$Z108)</f>
      </c>
      <c r="AC108" s="8"/>
      <c r="AD108" s="11"/>
      <c r="AE108" s="8"/>
      <c r="AF108" s="8"/>
      <c r="AG108" s="8"/>
      <c r="AH108" s="11"/>
      <c r="AI108" s="10"/>
      <c r="AJ108" s="8"/>
      <c r="AK108" s="11"/>
      <c r="AL108" s="8">
        <f>IF($H108="","",IFERROR(VLOOKUP($H108,Справочники!$A$8:$B$22,2,0),""))</f>
      </c>
      <c r="AM108" s="8">
        <f>IF($AE108&lt;&gt;"",$AE108,IF(OR($H108="Выиграна",$H108="Договор заключён",$H108="Договор исполняется",$H108="Исполнен/закрыт"),"Выиграна",IF($H108="Проиграна","Проиграна",IF($H108="Отменена заказчиком","Отменена заказчиком",""))))</f>
      </c>
    </row>
    <row r="109" ht="18" customHeight="1" spans="1:39" x14ac:dyDescent="0.25">
      <c r="A109" s="7">
        <f>IF(COUNTA($B109:$K109)=0,"",COUNT($A$2:A108)+1)</f>
      </c>
      <c r="B109" s="8"/>
      <c r="C109" s="8"/>
      <c r="D109" s="8"/>
      <c r="E109" s="9"/>
      <c r="F109" s="10"/>
      <c r="G109" s="11"/>
      <c r="H109" s="8"/>
      <c r="I109" s="8"/>
      <c r="J109" s="8"/>
      <c r="K109" s="8"/>
      <c r="L109" s="8"/>
      <c r="M109" s="8"/>
      <c r="N109" s="12"/>
      <c r="O109" s="10">
        <f>IF($N109="","",IF($M109="Доллары",$N109*Справочники!$B$4,$N109))</f>
      </c>
      <c r="P109" s="8"/>
      <c r="Q109" s="8"/>
      <c r="R109" s="8"/>
      <c r="S109" s="10"/>
      <c r="T109" s="8"/>
      <c r="U109" s="8"/>
      <c r="V109" s="8"/>
      <c r="W109" s="11"/>
      <c r="X109" s="8"/>
      <c r="Y109" s="11"/>
      <c r="Z109" s="10"/>
      <c r="AA109" s="10"/>
      <c r="AB109" s="13">
        <f>IF(OR($Z109="",$AA109="",$Z109=0),"",($Z109-$AA109)/$Z109)</f>
      </c>
      <c r="AC109" s="8"/>
      <c r="AD109" s="11"/>
      <c r="AE109" s="8"/>
      <c r="AF109" s="8"/>
      <c r="AG109" s="8"/>
      <c r="AH109" s="11"/>
      <c r="AI109" s="10"/>
      <c r="AJ109" s="8"/>
      <c r="AK109" s="11"/>
      <c r="AL109" s="8">
        <f>IF($H109="","",IFERROR(VLOOKUP($H109,Справочники!$A$8:$B$22,2,0),""))</f>
      </c>
      <c r="AM109" s="8">
        <f>IF($AE109&lt;&gt;"",$AE109,IF(OR($H109="Выиграна",$H109="Договор заключён",$H109="Договор исполняется",$H109="Исполнен/закрыт"),"Выиграна",IF($H109="Проиграна","Проиграна",IF($H109="Отменена заказчиком","Отменена заказчиком",""))))</f>
      </c>
    </row>
    <row r="110" ht="18" customHeight="1" spans="1:39" x14ac:dyDescent="0.25">
      <c r="A110" s="7">
        <f>IF(COUNTA($B110:$K110)=0,"",COUNT($A$2:A109)+1)</f>
      </c>
      <c r="B110" s="8"/>
      <c r="C110" s="8"/>
      <c r="D110" s="8"/>
      <c r="E110" s="9"/>
      <c r="F110" s="10"/>
      <c r="G110" s="11"/>
      <c r="H110" s="8"/>
      <c r="I110" s="8"/>
      <c r="J110" s="8"/>
      <c r="K110" s="8"/>
      <c r="L110" s="8"/>
      <c r="M110" s="8"/>
      <c r="N110" s="12"/>
      <c r="O110" s="10">
        <f>IF($N110="","",IF($M110="Доллары",$N110*Справочники!$B$4,$N110))</f>
      </c>
      <c r="P110" s="8"/>
      <c r="Q110" s="8"/>
      <c r="R110" s="8"/>
      <c r="S110" s="10"/>
      <c r="T110" s="8"/>
      <c r="U110" s="8"/>
      <c r="V110" s="8"/>
      <c r="W110" s="11"/>
      <c r="X110" s="8"/>
      <c r="Y110" s="11"/>
      <c r="Z110" s="10"/>
      <c r="AA110" s="10"/>
      <c r="AB110" s="13">
        <f>IF(OR($Z110="",$AA110="",$Z110=0),"",($Z110-$AA110)/$Z110)</f>
      </c>
      <c r="AC110" s="8"/>
      <c r="AD110" s="11"/>
      <c r="AE110" s="8"/>
      <c r="AF110" s="8"/>
      <c r="AG110" s="8"/>
      <c r="AH110" s="11"/>
      <c r="AI110" s="10"/>
      <c r="AJ110" s="8"/>
      <c r="AK110" s="11"/>
      <c r="AL110" s="8">
        <f>IF($H110="","",IFERROR(VLOOKUP($H110,Справочники!$A$8:$B$22,2,0),""))</f>
      </c>
      <c r="AM110" s="8">
        <f>IF($AE110&lt;&gt;"",$AE110,IF(OR($H110="Выиграна",$H110="Договор заключён",$H110="Договор исполняется",$H110="Исполнен/закрыт"),"Выиграна",IF($H110="Проиграна","Проиграна",IF($H110="Отменена заказчиком","Отменена заказчиком",""))))</f>
      </c>
    </row>
    <row r="111" ht="18" customHeight="1" spans="1:39" x14ac:dyDescent="0.25">
      <c r="A111" s="7">
        <f>IF(COUNTA($B111:$K111)=0,"",COUNT($A$2:A110)+1)</f>
      </c>
      <c r="B111" s="8"/>
      <c r="C111" s="8"/>
      <c r="D111" s="8"/>
      <c r="E111" s="9"/>
      <c r="F111" s="10"/>
      <c r="G111" s="11"/>
      <c r="H111" s="8"/>
      <c r="I111" s="8"/>
      <c r="J111" s="8"/>
      <c r="K111" s="8"/>
      <c r="L111" s="8"/>
      <c r="M111" s="8"/>
      <c r="N111" s="12"/>
      <c r="O111" s="10">
        <f>IF($N111="","",IF($M111="Доллары",$N111*Справочники!$B$4,$N111))</f>
      </c>
      <c r="P111" s="8"/>
      <c r="Q111" s="8"/>
      <c r="R111" s="8"/>
      <c r="S111" s="10"/>
      <c r="T111" s="8"/>
      <c r="U111" s="8"/>
      <c r="V111" s="8"/>
      <c r="W111" s="11"/>
      <c r="X111" s="8"/>
      <c r="Y111" s="11"/>
      <c r="Z111" s="10"/>
      <c r="AA111" s="10"/>
      <c r="AB111" s="13">
        <f>IF(OR($Z111="",$AA111="",$Z111=0),"",($Z111-$AA111)/$Z111)</f>
      </c>
      <c r="AC111" s="8"/>
      <c r="AD111" s="11"/>
      <c r="AE111" s="8"/>
      <c r="AF111" s="8"/>
      <c r="AG111" s="8"/>
      <c r="AH111" s="11"/>
      <c r="AI111" s="10"/>
      <c r="AJ111" s="8"/>
      <c r="AK111" s="11"/>
      <c r="AL111" s="8">
        <f>IF($H111="","",IFERROR(VLOOKUP($H111,Справочники!$A$8:$B$22,2,0),""))</f>
      </c>
      <c r="AM111" s="8">
        <f>IF($AE111&lt;&gt;"",$AE111,IF(OR($H111="Выиграна",$H111="Договор заключён",$H111="Договор исполняется",$H111="Исполнен/закрыт"),"Выиграна",IF($H111="Проиграна","Проиграна",IF($H111="Отменена заказчиком","Отменена заказчиком",""))))</f>
      </c>
    </row>
    <row r="112" ht="18" customHeight="1" spans="1:39" x14ac:dyDescent="0.25">
      <c r="A112" s="7">
        <f>IF(COUNTA($B112:$K112)=0,"",COUNT($A$2:A111)+1)</f>
      </c>
      <c r="B112" s="8"/>
      <c r="C112" s="8"/>
      <c r="D112" s="8"/>
      <c r="E112" s="9"/>
      <c r="F112" s="10"/>
      <c r="G112" s="11"/>
      <c r="H112" s="8"/>
      <c r="I112" s="8"/>
      <c r="J112" s="8"/>
      <c r="K112" s="8"/>
      <c r="L112" s="8"/>
      <c r="M112" s="8"/>
      <c r="N112" s="12"/>
      <c r="O112" s="10">
        <f>IF($N112="","",IF($M112="Доллары",$N112*Справочники!$B$4,$N112))</f>
      </c>
      <c r="P112" s="8"/>
      <c r="Q112" s="8"/>
      <c r="R112" s="8"/>
      <c r="S112" s="10"/>
      <c r="T112" s="8"/>
      <c r="U112" s="8"/>
      <c r="V112" s="8"/>
      <c r="W112" s="11"/>
      <c r="X112" s="8"/>
      <c r="Y112" s="11"/>
      <c r="Z112" s="10"/>
      <c r="AA112" s="10"/>
      <c r="AB112" s="13">
        <f>IF(OR($Z112="",$AA112="",$Z112=0),"",($Z112-$AA112)/$Z112)</f>
      </c>
      <c r="AC112" s="8"/>
      <c r="AD112" s="11"/>
      <c r="AE112" s="8"/>
      <c r="AF112" s="8"/>
      <c r="AG112" s="8"/>
      <c r="AH112" s="11"/>
      <c r="AI112" s="10"/>
      <c r="AJ112" s="8"/>
      <c r="AK112" s="11"/>
      <c r="AL112" s="8">
        <f>IF($H112="","",IFERROR(VLOOKUP($H112,Справочники!$A$8:$B$22,2,0),""))</f>
      </c>
      <c r="AM112" s="8">
        <f>IF($AE112&lt;&gt;"",$AE112,IF(OR($H112="Выиграна",$H112="Договор заключён",$H112="Договор исполняется",$H112="Исполнен/закрыт"),"Выиграна",IF($H112="Проиграна","Проиграна",IF($H112="Отменена заказчиком","Отменена заказчиком",""))))</f>
      </c>
    </row>
    <row r="113" ht="18" customHeight="1" spans="1:39" x14ac:dyDescent="0.25">
      <c r="A113" s="7">
        <f>IF(COUNTA($B113:$K113)=0,"",COUNT($A$2:A112)+1)</f>
      </c>
      <c r="B113" s="8"/>
      <c r="C113" s="8"/>
      <c r="D113" s="8"/>
      <c r="E113" s="9"/>
      <c r="F113" s="10"/>
      <c r="G113" s="11"/>
      <c r="H113" s="8"/>
      <c r="I113" s="8"/>
      <c r="J113" s="8"/>
      <c r="K113" s="8"/>
      <c r="L113" s="8"/>
      <c r="M113" s="8"/>
      <c r="N113" s="12"/>
      <c r="O113" s="10">
        <f>IF($N113="","",IF($M113="Доллары",$N113*Справочники!$B$4,$N113))</f>
      </c>
      <c r="P113" s="8"/>
      <c r="Q113" s="8"/>
      <c r="R113" s="8"/>
      <c r="S113" s="10"/>
      <c r="T113" s="8"/>
      <c r="U113" s="8"/>
      <c r="V113" s="8"/>
      <c r="W113" s="11"/>
      <c r="X113" s="8"/>
      <c r="Y113" s="11"/>
      <c r="Z113" s="10"/>
      <c r="AA113" s="10"/>
      <c r="AB113" s="13">
        <f>IF(OR($Z113="",$AA113="",$Z113=0),"",($Z113-$AA113)/$Z113)</f>
      </c>
      <c r="AC113" s="8"/>
      <c r="AD113" s="11"/>
      <c r="AE113" s="8"/>
      <c r="AF113" s="8"/>
      <c r="AG113" s="8"/>
      <c r="AH113" s="11"/>
      <c r="AI113" s="10"/>
      <c r="AJ113" s="8"/>
      <c r="AK113" s="11"/>
      <c r="AL113" s="8">
        <f>IF($H113="","",IFERROR(VLOOKUP($H113,Справочники!$A$8:$B$22,2,0),""))</f>
      </c>
      <c r="AM113" s="8">
        <f>IF($AE113&lt;&gt;"",$AE113,IF(OR($H113="Выиграна",$H113="Договор заключён",$H113="Договор исполняется",$H113="Исполнен/закрыт"),"Выиграна",IF($H113="Проиграна","Проиграна",IF($H113="Отменена заказчиком","Отменена заказчиком",""))))</f>
      </c>
    </row>
    <row r="114" ht="18" customHeight="1" spans="1:39" x14ac:dyDescent="0.25">
      <c r="A114" s="7">
        <f>IF(COUNTA($B114:$K114)=0,"",COUNT($A$2:A113)+1)</f>
      </c>
      <c r="B114" s="8"/>
      <c r="C114" s="8"/>
      <c r="D114" s="8"/>
      <c r="E114" s="9"/>
      <c r="F114" s="10"/>
      <c r="G114" s="11"/>
      <c r="H114" s="8"/>
      <c r="I114" s="8"/>
      <c r="J114" s="8"/>
      <c r="K114" s="8"/>
      <c r="L114" s="8"/>
      <c r="M114" s="8"/>
      <c r="N114" s="12"/>
      <c r="O114" s="10">
        <f>IF($N114="","",IF($M114="Доллары",$N114*Справочники!$B$4,$N114))</f>
      </c>
      <c r="P114" s="8"/>
      <c r="Q114" s="8"/>
      <c r="R114" s="8"/>
      <c r="S114" s="10"/>
      <c r="T114" s="8"/>
      <c r="U114" s="8"/>
      <c r="V114" s="8"/>
      <c r="W114" s="11"/>
      <c r="X114" s="8"/>
      <c r="Y114" s="11"/>
      <c r="Z114" s="10"/>
      <c r="AA114" s="10"/>
      <c r="AB114" s="13">
        <f>IF(OR($Z114="",$AA114="",$Z114=0),"",($Z114-$AA114)/$Z114)</f>
      </c>
      <c r="AC114" s="8"/>
      <c r="AD114" s="11"/>
      <c r="AE114" s="8"/>
      <c r="AF114" s="8"/>
      <c r="AG114" s="8"/>
      <c r="AH114" s="11"/>
      <c r="AI114" s="10"/>
      <c r="AJ114" s="8"/>
      <c r="AK114" s="11"/>
      <c r="AL114" s="8">
        <f>IF($H114="","",IFERROR(VLOOKUP($H114,Справочники!$A$8:$B$22,2,0),""))</f>
      </c>
      <c r="AM114" s="8">
        <f>IF($AE114&lt;&gt;"",$AE114,IF(OR($H114="Выиграна",$H114="Договор заключён",$H114="Договор исполняется",$H114="Исполнен/закрыт"),"Выиграна",IF($H114="Проиграна","Проиграна",IF($H114="Отменена заказчиком","Отменена заказчиком",""))))</f>
      </c>
    </row>
    <row r="115" ht="18" customHeight="1" spans="1:39" x14ac:dyDescent="0.25">
      <c r="A115" s="7">
        <f>IF(COUNTA($B115:$K115)=0,"",COUNT($A$2:A114)+1)</f>
      </c>
      <c r="B115" s="8"/>
      <c r="C115" s="8"/>
      <c r="D115" s="8"/>
      <c r="E115" s="9"/>
      <c r="F115" s="10"/>
      <c r="G115" s="11"/>
      <c r="H115" s="8"/>
      <c r="I115" s="8"/>
      <c r="J115" s="8"/>
      <c r="K115" s="8"/>
      <c r="L115" s="8"/>
      <c r="M115" s="8"/>
      <c r="N115" s="12"/>
      <c r="O115" s="10">
        <f>IF($N115="","",IF($M115="Доллары",$N115*Справочники!$B$4,$N115))</f>
      </c>
      <c r="P115" s="8"/>
      <c r="Q115" s="8"/>
      <c r="R115" s="8"/>
      <c r="S115" s="10"/>
      <c r="T115" s="8"/>
      <c r="U115" s="8"/>
      <c r="V115" s="8"/>
      <c r="W115" s="11"/>
      <c r="X115" s="8"/>
      <c r="Y115" s="11"/>
      <c r="Z115" s="10"/>
      <c r="AA115" s="10"/>
      <c r="AB115" s="13">
        <f>IF(OR($Z115="",$AA115="",$Z115=0),"",($Z115-$AA115)/$Z115)</f>
      </c>
      <c r="AC115" s="8"/>
      <c r="AD115" s="11"/>
      <c r="AE115" s="8"/>
      <c r="AF115" s="8"/>
      <c r="AG115" s="8"/>
      <c r="AH115" s="11"/>
      <c r="AI115" s="10"/>
      <c r="AJ115" s="8"/>
      <c r="AK115" s="11"/>
      <c r="AL115" s="8">
        <f>IF($H115="","",IFERROR(VLOOKUP($H115,Справочники!$A$8:$B$22,2,0),""))</f>
      </c>
      <c r="AM115" s="8">
        <f>IF($AE115&lt;&gt;"",$AE115,IF(OR($H115="Выиграна",$H115="Договор заключён",$H115="Договор исполняется",$H115="Исполнен/закрыт"),"Выиграна",IF($H115="Проиграна","Проиграна",IF($H115="Отменена заказчиком","Отменена заказчиком",""))))</f>
      </c>
    </row>
    <row r="116" ht="18" customHeight="1" spans="1:39" x14ac:dyDescent="0.25">
      <c r="A116" s="7">
        <f>IF(COUNTA($B116:$K116)=0,"",COUNT($A$2:A115)+1)</f>
      </c>
      <c r="B116" s="8"/>
      <c r="C116" s="8"/>
      <c r="D116" s="8"/>
      <c r="E116" s="9"/>
      <c r="F116" s="10"/>
      <c r="G116" s="11"/>
      <c r="H116" s="8"/>
      <c r="I116" s="8"/>
      <c r="J116" s="8"/>
      <c r="K116" s="8"/>
      <c r="L116" s="8"/>
      <c r="M116" s="8"/>
      <c r="N116" s="12"/>
      <c r="O116" s="10">
        <f>IF($N116="","",IF($M116="Доллары",$N116*Справочники!$B$4,$N116))</f>
      </c>
      <c r="P116" s="8"/>
      <c r="Q116" s="8"/>
      <c r="R116" s="8"/>
      <c r="S116" s="10"/>
      <c r="T116" s="8"/>
      <c r="U116" s="8"/>
      <c r="V116" s="8"/>
      <c r="W116" s="11"/>
      <c r="X116" s="8"/>
      <c r="Y116" s="11"/>
      <c r="Z116" s="10"/>
      <c r="AA116" s="10"/>
      <c r="AB116" s="13">
        <f>IF(OR($Z116="",$AA116="",$Z116=0),"",($Z116-$AA116)/$Z116)</f>
      </c>
      <c r="AC116" s="8"/>
      <c r="AD116" s="11"/>
      <c r="AE116" s="8"/>
      <c r="AF116" s="8"/>
      <c r="AG116" s="8"/>
      <c r="AH116" s="11"/>
      <c r="AI116" s="10"/>
      <c r="AJ116" s="8"/>
      <c r="AK116" s="11"/>
      <c r="AL116" s="8">
        <f>IF($H116="","",IFERROR(VLOOKUP($H116,Справочники!$A$8:$B$22,2,0),""))</f>
      </c>
      <c r="AM116" s="8">
        <f>IF($AE116&lt;&gt;"",$AE116,IF(OR($H116="Выиграна",$H116="Договор заключён",$H116="Договор исполняется",$H116="Исполнен/закрыт"),"Выиграна",IF($H116="Проиграна","Проиграна",IF($H116="Отменена заказчиком","Отменена заказчиком",""))))</f>
      </c>
    </row>
    <row r="117" ht="18" customHeight="1" spans="1:39" x14ac:dyDescent="0.25">
      <c r="A117" s="7">
        <f>IF(COUNTA($B117:$K117)=0,"",COUNT($A$2:A116)+1)</f>
      </c>
      <c r="B117" s="8"/>
      <c r="C117" s="8"/>
      <c r="D117" s="8"/>
      <c r="E117" s="9"/>
      <c r="F117" s="10"/>
      <c r="G117" s="11"/>
      <c r="H117" s="8"/>
      <c r="I117" s="8"/>
      <c r="J117" s="8"/>
      <c r="K117" s="8"/>
      <c r="L117" s="8"/>
      <c r="M117" s="8"/>
      <c r="N117" s="12"/>
      <c r="O117" s="10">
        <f>IF($N117="","",IF($M117="Доллары",$N117*Справочники!$B$4,$N117))</f>
      </c>
      <c r="P117" s="8"/>
      <c r="Q117" s="8"/>
      <c r="R117" s="8"/>
      <c r="S117" s="10"/>
      <c r="T117" s="8"/>
      <c r="U117" s="8"/>
      <c r="V117" s="8"/>
      <c r="W117" s="11"/>
      <c r="X117" s="8"/>
      <c r="Y117" s="11"/>
      <c r="Z117" s="10"/>
      <c r="AA117" s="10"/>
      <c r="AB117" s="13">
        <f>IF(OR($Z117="",$AA117="",$Z117=0),"",($Z117-$AA117)/$Z117)</f>
      </c>
      <c r="AC117" s="8"/>
      <c r="AD117" s="11"/>
      <c r="AE117" s="8"/>
      <c r="AF117" s="8"/>
      <c r="AG117" s="8"/>
      <c r="AH117" s="11"/>
      <c r="AI117" s="10"/>
      <c r="AJ117" s="8"/>
      <c r="AK117" s="11"/>
      <c r="AL117" s="8">
        <f>IF($H117="","",IFERROR(VLOOKUP($H117,Справочники!$A$8:$B$22,2,0),""))</f>
      </c>
      <c r="AM117" s="8">
        <f>IF($AE117&lt;&gt;"",$AE117,IF(OR($H117="Выиграна",$H117="Договор заключён",$H117="Договор исполняется",$H117="Исполнен/закрыт"),"Выиграна",IF($H117="Проиграна","Проиграна",IF($H117="Отменена заказчиком","Отменена заказчиком",""))))</f>
      </c>
    </row>
    <row r="118" ht="18" customHeight="1" spans="1:39" x14ac:dyDescent="0.25">
      <c r="A118" s="7">
        <f>IF(COUNTA($B118:$K118)=0,"",COUNT($A$2:A117)+1)</f>
      </c>
      <c r="B118" s="8"/>
      <c r="C118" s="8"/>
      <c r="D118" s="8"/>
      <c r="E118" s="9"/>
      <c r="F118" s="10"/>
      <c r="G118" s="11"/>
      <c r="H118" s="8"/>
      <c r="I118" s="8"/>
      <c r="J118" s="8"/>
      <c r="K118" s="8"/>
      <c r="L118" s="8"/>
      <c r="M118" s="8"/>
      <c r="N118" s="12"/>
      <c r="O118" s="10">
        <f>IF($N118="","",IF($M118="Доллары",$N118*Справочники!$B$4,$N118))</f>
      </c>
      <c r="P118" s="8"/>
      <c r="Q118" s="8"/>
      <c r="R118" s="8"/>
      <c r="S118" s="10"/>
      <c r="T118" s="8"/>
      <c r="U118" s="8"/>
      <c r="V118" s="8"/>
      <c r="W118" s="11"/>
      <c r="X118" s="8"/>
      <c r="Y118" s="11"/>
      <c r="Z118" s="10"/>
      <c r="AA118" s="10"/>
      <c r="AB118" s="13">
        <f>IF(OR($Z118="",$AA118="",$Z118=0),"",($Z118-$AA118)/$Z118)</f>
      </c>
      <c r="AC118" s="8"/>
      <c r="AD118" s="11"/>
      <c r="AE118" s="8"/>
      <c r="AF118" s="8"/>
      <c r="AG118" s="8"/>
      <c r="AH118" s="11"/>
      <c r="AI118" s="10"/>
      <c r="AJ118" s="8"/>
      <c r="AK118" s="11"/>
      <c r="AL118" s="8">
        <f>IF($H118="","",IFERROR(VLOOKUP($H118,Справочники!$A$8:$B$22,2,0),""))</f>
      </c>
      <c r="AM118" s="8">
        <f>IF($AE118&lt;&gt;"",$AE118,IF(OR($H118="Выиграна",$H118="Договор заключён",$H118="Договор исполняется",$H118="Исполнен/закрыт"),"Выиграна",IF($H118="Проиграна","Проиграна",IF($H118="Отменена заказчиком","Отменена заказчиком",""))))</f>
      </c>
    </row>
    <row r="119" ht="18" customHeight="1" spans="1:39" x14ac:dyDescent="0.25">
      <c r="A119" s="7">
        <f>IF(COUNTA($B119:$K119)=0,"",COUNT($A$2:A118)+1)</f>
      </c>
      <c r="B119" s="8"/>
      <c r="C119" s="8"/>
      <c r="D119" s="8"/>
      <c r="E119" s="9"/>
      <c r="F119" s="10"/>
      <c r="G119" s="11"/>
      <c r="H119" s="8"/>
      <c r="I119" s="8"/>
      <c r="J119" s="8"/>
      <c r="K119" s="8"/>
      <c r="L119" s="8"/>
      <c r="M119" s="8"/>
      <c r="N119" s="12"/>
      <c r="O119" s="10">
        <f>IF($N119="","",IF($M119="Доллары",$N119*Справочники!$B$4,$N119))</f>
      </c>
      <c r="P119" s="8"/>
      <c r="Q119" s="8"/>
      <c r="R119" s="8"/>
      <c r="S119" s="10"/>
      <c r="T119" s="8"/>
      <c r="U119" s="8"/>
      <c r="V119" s="8"/>
      <c r="W119" s="11"/>
      <c r="X119" s="8"/>
      <c r="Y119" s="11"/>
      <c r="Z119" s="10"/>
      <c r="AA119" s="10"/>
      <c r="AB119" s="13">
        <f>IF(OR($Z119="",$AA119="",$Z119=0),"",($Z119-$AA119)/$Z119)</f>
      </c>
      <c r="AC119" s="8"/>
      <c r="AD119" s="11"/>
      <c r="AE119" s="8"/>
      <c r="AF119" s="8"/>
      <c r="AG119" s="8"/>
      <c r="AH119" s="11"/>
      <c r="AI119" s="10"/>
      <c r="AJ119" s="8"/>
      <c r="AK119" s="11"/>
      <c r="AL119" s="8">
        <f>IF($H119="","",IFERROR(VLOOKUP($H119,Справочники!$A$8:$B$22,2,0),""))</f>
      </c>
      <c r="AM119" s="8">
        <f>IF($AE119&lt;&gt;"",$AE119,IF(OR($H119="Выиграна",$H119="Договор заключён",$H119="Договор исполняется",$H119="Исполнен/закрыт"),"Выиграна",IF($H119="Проиграна","Проиграна",IF($H119="Отменена заказчиком","Отменена заказчиком",""))))</f>
      </c>
    </row>
    <row r="120" ht="18" customHeight="1" spans="1:39" x14ac:dyDescent="0.25">
      <c r="A120" s="7">
        <f>IF(COUNTA($B120:$K120)=0,"",COUNT($A$2:A119)+1)</f>
      </c>
      <c r="B120" s="8"/>
      <c r="C120" s="8"/>
      <c r="D120" s="8"/>
      <c r="E120" s="9"/>
      <c r="F120" s="10"/>
      <c r="G120" s="11"/>
      <c r="H120" s="8"/>
      <c r="I120" s="8"/>
      <c r="J120" s="8"/>
      <c r="K120" s="8"/>
      <c r="L120" s="8"/>
      <c r="M120" s="8"/>
      <c r="N120" s="12"/>
      <c r="O120" s="10">
        <f>IF($N120="","",IF($M120="Доллары",$N120*Справочники!$B$4,$N120))</f>
      </c>
      <c r="P120" s="8"/>
      <c r="Q120" s="8"/>
      <c r="R120" s="8"/>
      <c r="S120" s="10"/>
      <c r="T120" s="8"/>
      <c r="U120" s="8"/>
      <c r="V120" s="8"/>
      <c r="W120" s="11"/>
      <c r="X120" s="8"/>
      <c r="Y120" s="11"/>
      <c r="Z120" s="10"/>
      <c r="AA120" s="10"/>
      <c r="AB120" s="13">
        <f>IF(OR($Z120="",$AA120="",$Z120=0),"",($Z120-$AA120)/$Z120)</f>
      </c>
      <c r="AC120" s="8"/>
      <c r="AD120" s="11"/>
      <c r="AE120" s="8"/>
      <c r="AF120" s="8"/>
      <c r="AG120" s="8"/>
      <c r="AH120" s="11"/>
      <c r="AI120" s="10"/>
      <c r="AJ120" s="8"/>
      <c r="AK120" s="11"/>
      <c r="AL120" s="8">
        <f>IF($H120="","",IFERROR(VLOOKUP($H120,Справочники!$A$8:$B$22,2,0),""))</f>
      </c>
      <c r="AM120" s="8">
        <f>IF($AE120&lt;&gt;"",$AE120,IF(OR($H120="Выиграна",$H120="Договор заключён",$H120="Договор исполняется",$H120="Исполнен/закрыт"),"Выиграна",IF($H120="Проиграна","Проиграна",IF($H120="Отменена заказчиком","Отменена заказчиком",""))))</f>
      </c>
    </row>
    <row r="121" ht="18" customHeight="1" spans="1:39" x14ac:dyDescent="0.25">
      <c r="A121" s="7">
        <f>IF(COUNTA($B121:$K121)=0,"",COUNT($A$2:A120)+1)</f>
      </c>
      <c r="B121" s="8"/>
      <c r="C121" s="8"/>
      <c r="D121" s="8"/>
      <c r="E121" s="9"/>
      <c r="F121" s="10"/>
      <c r="G121" s="11"/>
      <c r="H121" s="8"/>
      <c r="I121" s="8"/>
      <c r="J121" s="8"/>
      <c r="K121" s="8"/>
      <c r="L121" s="8"/>
      <c r="M121" s="8"/>
      <c r="N121" s="12"/>
      <c r="O121" s="10">
        <f>IF($N121="","",IF($M121="Доллары",$N121*Справочники!$B$4,$N121))</f>
      </c>
      <c r="P121" s="8"/>
      <c r="Q121" s="8"/>
      <c r="R121" s="8"/>
      <c r="S121" s="10"/>
      <c r="T121" s="8"/>
      <c r="U121" s="8"/>
      <c r="V121" s="8"/>
      <c r="W121" s="11"/>
      <c r="X121" s="8"/>
      <c r="Y121" s="11"/>
      <c r="Z121" s="10"/>
      <c r="AA121" s="10"/>
      <c r="AB121" s="13">
        <f>IF(OR($Z121="",$AA121="",$Z121=0),"",($Z121-$AA121)/$Z121)</f>
      </c>
      <c r="AC121" s="8"/>
      <c r="AD121" s="11"/>
      <c r="AE121" s="8"/>
      <c r="AF121" s="8"/>
      <c r="AG121" s="8"/>
      <c r="AH121" s="11"/>
      <c r="AI121" s="10"/>
      <c r="AJ121" s="8"/>
      <c r="AK121" s="11"/>
      <c r="AL121" s="8">
        <f>IF($H121="","",IFERROR(VLOOKUP($H121,Справочники!$A$8:$B$22,2,0),""))</f>
      </c>
      <c r="AM121" s="8">
        <f>IF($AE121&lt;&gt;"",$AE121,IF(OR($H121="Выиграна",$H121="Договор заключён",$H121="Договор исполняется",$H121="Исполнен/закрыт"),"Выиграна",IF($H121="Проиграна","Проиграна",IF($H121="Отменена заказчиком","Отменена заказчиком",""))))</f>
      </c>
    </row>
    <row r="122" ht="18" customHeight="1" spans="1:39" x14ac:dyDescent="0.25">
      <c r="A122" s="7">
        <f>IF(COUNTA($B122:$K122)=0,"",COUNT($A$2:A121)+1)</f>
      </c>
      <c r="B122" s="8"/>
      <c r="C122" s="8"/>
      <c r="D122" s="8"/>
      <c r="E122" s="9"/>
      <c r="F122" s="10"/>
      <c r="G122" s="11"/>
      <c r="H122" s="8"/>
      <c r="I122" s="8"/>
      <c r="J122" s="8"/>
      <c r="K122" s="8"/>
      <c r="L122" s="8"/>
      <c r="M122" s="8"/>
      <c r="N122" s="12"/>
      <c r="O122" s="10">
        <f>IF($N122="","",IF($M122="Доллары",$N122*Справочники!$B$4,$N122))</f>
      </c>
      <c r="P122" s="8"/>
      <c r="Q122" s="8"/>
      <c r="R122" s="8"/>
      <c r="S122" s="10"/>
      <c r="T122" s="8"/>
      <c r="U122" s="8"/>
      <c r="V122" s="8"/>
      <c r="W122" s="11"/>
      <c r="X122" s="8"/>
      <c r="Y122" s="11"/>
      <c r="Z122" s="10"/>
      <c r="AA122" s="10"/>
      <c r="AB122" s="13">
        <f>IF(OR($Z122="",$AA122="",$Z122=0),"",($Z122-$AA122)/$Z122)</f>
      </c>
      <c r="AC122" s="8"/>
      <c r="AD122" s="11"/>
      <c r="AE122" s="8"/>
      <c r="AF122" s="8"/>
      <c r="AG122" s="8"/>
      <c r="AH122" s="11"/>
      <c r="AI122" s="10"/>
      <c r="AJ122" s="8"/>
      <c r="AK122" s="11"/>
      <c r="AL122" s="8">
        <f>IF($H122="","",IFERROR(VLOOKUP($H122,Справочники!$A$8:$B$22,2,0),""))</f>
      </c>
      <c r="AM122" s="8">
        <f>IF($AE122&lt;&gt;"",$AE122,IF(OR($H122="Выиграна",$H122="Договор заключён",$H122="Договор исполняется",$H122="Исполнен/закрыт"),"Выиграна",IF($H122="Проиграна","Проиграна",IF($H122="Отменена заказчиком","Отменена заказчиком",""))))</f>
      </c>
    </row>
    <row r="123" ht="18" customHeight="1" spans="1:39" x14ac:dyDescent="0.25">
      <c r="A123" s="7">
        <f>IF(COUNTA($B123:$K123)=0,"",COUNT($A$2:A122)+1)</f>
      </c>
      <c r="B123" s="8"/>
      <c r="C123" s="8"/>
      <c r="D123" s="8"/>
      <c r="E123" s="9"/>
      <c r="F123" s="10"/>
      <c r="G123" s="11"/>
      <c r="H123" s="8"/>
      <c r="I123" s="8"/>
      <c r="J123" s="8"/>
      <c r="K123" s="8"/>
      <c r="L123" s="8"/>
      <c r="M123" s="8"/>
      <c r="N123" s="12"/>
      <c r="O123" s="10">
        <f>IF($N123="","",IF($M123="Доллары",$N123*Справочники!$B$4,$N123))</f>
      </c>
      <c r="P123" s="8"/>
      <c r="Q123" s="8"/>
      <c r="R123" s="8"/>
      <c r="S123" s="10"/>
      <c r="T123" s="8"/>
      <c r="U123" s="8"/>
      <c r="V123" s="8"/>
      <c r="W123" s="11"/>
      <c r="X123" s="8"/>
      <c r="Y123" s="11"/>
      <c r="Z123" s="10"/>
      <c r="AA123" s="10"/>
      <c r="AB123" s="13">
        <f>IF(OR($Z123="",$AA123="",$Z123=0),"",($Z123-$AA123)/$Z123)</f>
      </c>
      <c r="AC123" s="8"/>
      <c r="AD123" s="11"/>
      <c r="AE123" s="8"/>
      <c r="AF123" s="8"/>
      <c r="AG123" s="8"/>
      <c r="AH123" s="11"/>
      <c r="AI123" s="10"/>
      <c r="AJ123" s="8"/>
      <c r="AK123" s="11"/>
      <c r="AL123" s="8">
        <f>IF($H123="","",IFERROR(VLOOKUP($H123,Справочники!$A$8:$B$22,2,0),""))</f>
      </c>
      <c r="AM123" s="8">
        <f>IF($AE123&lt;&gt;"",$AE123,IF(OR($H123="Выиграна",$H123="Договор заключён",$H123="Договор исполняется",$H123="Исполнен/закрыт"),"Выиграна",IF($H123="Проиграна","Проиграна",IF($H123="Отменена заказчиком","Отменена заказчиком",""))))</f>
      </c>
    </row>
    <row r="124" ht="18" customHeight="1" spans="1:39" x14ac:dyDescent="0.25">
      <c r="A124" s="7">
        <f>IF(COUNTA($B124:$K124)=0,"",COUNT($A$2:A123)+1)</f>
      </c>
      <c r="B124" s="8"/>
      <c r="C124" s="8"/>
      <c r="D124" s="8"/>
      <c r="E124" s="9"/>
      <c r="F124" s="10"/>
      <c r="G124" s="11"/>
      <c r="H124" s="8"/>
      <c r="I124" s="8"/>
      <c r="J124" s="8"/>
      <c r="K124" s="8"/>
      <c r="L124" s="8"/>
      <c r="M124" s="8"/>
      <c r="N124" s="12"/>
      <c r="O124" s="10">
        <f>IF($N124="","",IF($M124="Доллары",$N124*Справочники!$B$4,$N124))</f>
      </c>
      <c r="P124" s="8"/>
      <c r="Q124" s="8"/>
      <c r="R124" s="8"/>
      <c r="S124" s="10"/>
      <c r="T124" s="8"/>
      <c r="U124" s="8"/>
      <c r="V124" s="8"/>
      <c r="W124" s="11"/>
      <c r="X124" s="8"/>
      <c r="Y124" s="11"/>
      <c r="Z124" s="10"/>
      <c r="AA124" s="10"/>
      <c r="AB124" s="13">
        <f>IF(OR($Z124="",$AA124="",$Z124=0),"",($Z124-$AA124)/$Z124)</f>
      </c>
      <c r="AC124" s="8"/>
      <c r="AD124" s="11"/>
      <c r="AE124" s="8"/>
      <c r="AF124" s="8"/>
      <c r="AG124" s="8"/>
      <c r="AH124" s="11"/>
      <c r="AI124" s="10"/>
      <c r="AJ124" s="8"/>
      <c r="AK124" s="11"/>
      <c r="AL124" s="8">
        <f>IF($H124="","",IFERROR(VLOOKUP($H124,Справочники!$A$8:$B$22,2,0),""))</f>
      </c>
      <c r="AM124" s="8">
        <f>IF($AE124&lt;&gt;"",$AE124,IF(OR($H124="Выиграна",$H124="Договор заключён",$H124="Договор исполняется",$H124="Исполнен/закрыт"),"Выиграна",IF($H124="Проиграна","Проиграна",IF($H124="Отменена заказчиком","Отменена заказчиком",""))))</f>
      </c>
    </row>
    <row r="125" ht="18" customHeight="1" spans="1:39" x14ac:dyDescent="0.25">
      <c r="A125" s="7">
        <f>IF(COUNTA($B125:$K125)=0,"",COUNT($A$2:A124)+1)</f>
      </c>
      <c r="B125" s="8"/>
      <c r="C125" s="8"/>
      <c r="D125" s="8"/>
      <c r="E125" s="9"/>
      <c r="F125" s="10"/>
      <c r="G125" s="11"/>
      <c r="H125" s="8"/>
      <c r="I125" s="8"/>
      <c r="J125" s="8"/>
      <c r="K125" s="8"/>
      <c r="L125" s="8"/>
      <c r="M125" s="8"/>
      <c r="N125" s="12"/>
      <c r="O125" s="10">
        <f>IF($N125="","",IF($M125="Доллары",$N125*Справочники!$B$4,$N125))</f>
      </c>
      <c r="P125" s="8"/>
      <c r="Q125" s="8"/>
      <c r="R125" s="8"/>
      <c r="S125" s="10"/>
      <c r="T125" s="8"/>
      <c r="U125" s="8"/>
      <c r="V125" s="8"/>
      <c r="W125" s="11"/>
      <c r="X125" s="8"/>
      <c r="Y125" s="11"/>
      <c r="Z125" s="10"/>
      <c r="AA125" s="10"/>
      <c r="AB125" s="13">
        <f>IF(OR($Z125="",$AA125="",$Z125=0),"",($Z125-$AA125)/$Z125)</f>
      </c>
      <c r="AC125" s="8"/>
      <c r="AD125" s="11"/>
      <c r="AE125" s="8"/>
      <c r="AF125" s="8"/>
      <c r="AG125" s="8"/>
      <c r="AH125" s="11"/>
      <c r="AI125" s="10"/>
      <c r="AJ125" s="8"/>
      <c r="AK125" s="11"/>
      <c r="AL125" s="8">
        <f>IF($H125="","",IFERROR(VLOOKUP($H125,Справочники!$A$8:$B$22,2,0),""))</f>
      </c>
      <c r="AM125" s="8">
        <f>IF($AE125&lt;&gt;"",$AE125,IF(OR($H125="Выиграна",$H125="Договор заключён",$H125="Договор исполняется",$H125="Исполнен/закрыт"),"Выиграна",IF($H125="Проиграна","Проиграна",IF($H125="Отменена заказчиком","Отменена заказчиком",""))))</f>
      </c>
    </row>
    <row r="126" ht="18" customHeight="1" spans="1:39" x14ac:dyDescent="0.25">
      <c r="A126" s="7">
        <f>IF(COUNTA($B126:$K126)=0,"",COUNT($A$2:A125)+1)</f>
      </c>
      <c r="B126" s="8"/>
      <c r="C126" s="8"/>
      <c r="D126" s="8"/>
      <c r="E126" s="9"/>
      <c r="F126" s="10"/>
      <c r="G126" s="11"/>
      <c r="H126" s="8"/>
      <c r="I126" s="8"/>
      <c r="J126" s="8"/>
      <c r="K126" s="8"/>
      <c r="L126" s="8"/>
      <c r="M126" s="8"/>
      <c r="N126" s="12"/>
      <c r="O126" s="10">
        <f>IF($N126="","",IF($M126="Доллары",$N126*Справочники!$B$4,$N126))</f>
      </c>
      <c r="P126" s="8"/>
      <c r="Q126" s="8"/>
      <c r="R126" s="8"/>
      <c r="S126" s="10"/>
      <c r="T126" s="8"/>
      <c r="U126" s="8"/>
      <c r="V126" s="8"/>
      <c r="W126" s="11"/>
      <c r="X126" s="8"/>
      <c r="Y126" s="11"/>
      <c r="Z126" s="10"/>
      <c r="AA126" s="10"/>
      <c r="AB126" s="13">
        <f>IF(OR($Z126="",$AA126="",$Z126=0),"",($Z126-$AA126)/$Z126)</f>
      </c>
      <c r="AC126" s="8"/>
      <c r="AD126" s="11"/>
      <c r="AE126" s="8"/>
      <c r="AF126" s="8"/>
      <c r="AG126" s="8"/>
      <c r="AH126" s="11"/>
      <c r="AI126" s="10"/>
      <c r="AJ126" s="8"/>
      <c r="AK126" s="11"/>
      <c r="AL126" s="8">
        <f>IF($H126="","",IFERROR(VLOOKUP($H126,Справочники!$A$8:$B$22,2,0),""))</f>
      </c>
      <c r="AM126" s="8">
        <f>IF($AE126&lt;&gt;"",$AE126,IF(OR($H126="Выиграна",$H126="Договор заключён",$H126="Договор исполняется",$H126="Исполнен/закрыт"),"Выиграна",IF($H126="Проиграна","Проиграна",IF($H126="Отменена заказчиком","Отменена заказчиком",""))))</f>
      </c>
    </row>
    <row r="127" ht="18" customHeight="1" spans="1:39" x14ac:dyDescent="0.25">
      <c r="A127" s="7">
        <f>IF(COUNTA($B127:$K127)=0,"",COUNT($A$2:A126)+1)</f>
      </c>
      <c r="B127" s="8"/>
      <c r="C127" s="8"/>
      <c r="D127" s="8"/>
      <c r="E127" s="9"/>
      <c r="F127" s="10"/>
      <c r="G127" s="11"/>
      <c r="H127" s="8"/>
      <c r="I127" s="8"/>
      <c r="J127" s="8"/>
      <c r="K127" s="8"/>
      <c r="L127" s="8"/>
      <c r="M127" s="8"/>
      <c r="N127" s="12"/>
      <c r="O127" s="10">
        <f>IF($N127="","",IF($M127="Доллары",$N127*Справочники!$B$4,$N127))</f>
      </c>
      <c r="P127" s="8"/>
      <c r="Q127" s="8"/>
      <c r="R127" s="8"/>
      <c r="S127" s="10"/>
      <c r="T127" s="8"/>
      <c r="U127" s="8"/>
      <c r="V127" s="8"/>
      <c r="W127" s="11"/>
      <c r="X127" s="8"/>
      <c r="Y127" s="11"/>
      <c r="Z127" s="10"/>
      <c r="AA127" s="10"/>
      <c r="AB127" s="13">
        <f>IF(OR($Z127="",$AA127="",$Z127=0),"",($Z127-$AA127)/$Z127)</f>
      </c>
      <c r="AC127" s="8"/>
      <c r="AD127" s="11"/>
      <c r="AE127" s="8"/>
      <c r="AF127" s="8"/>
      <c r="AG127" s="8"/>
      <c r="AH127" s="11"/>
      <c r="AI127" s="10"/>
      <c r="AJ127" s="8"/>
      <c r="AK127" s="11"/>
      <c r="AL127" s="8">
        <f>IF($H127="","",IFERROR(VLOOKUP($H127,Справочники!$A$8:$B$22,2,0),""))</f>
      </c>
      <c r="AM127" s="8">
        <f>IF($AE127&lt;&gt;"",$AE127,IF(OR($H127="Выиграна",$H127="Договор заключён",$H127="Договор исполняется",$H127="Исполнен/закрыт"),"Выиграна",IF($H127="Проиграна","Проиграна",IF($H127="Отменена заказчиком","Отменена заказчиком",""))))</f>
      </c>
    </row>
    <row r="128" ht="18" customHeight="1" spans="1:39" x14ac:dyDescent="0.25">
      <c r="A128" s="7">
        <f>IF(COUNTA($B128:$K128)=0,"",COUNT($A$2:A127)+1)</f>
      </c>
      <c r="B128" s="8"/>
      <c r="C128" s="8"/>
      <c r="D128" s="8"/>
      <c r="E128" s="9"/>
      <c r="F128" s="10"/>
      <c r="G128" s="11"/>
      <c r="H128" s="8"/>
      <c r="I128" s="8"/>
      <c r="J128" s="8"/>
      <c r="K128" s="8"/>
      <c r="L128" s="8"/>
      <c r="M128" s="8"/>
      <c r="N128" s="12"/>
      <c r="O128" s="10">
        <f>IF($N128="","",IF($M128="Доллары",$N128*Справочники!$B$4,$N128))</f>
      </c>
      <c r="P128" s="8"/>
      <c r="Q128" s="8"/>
      <c r="R128" s="8"/>
      <c r="S128" s="10"/>
      <c r="T128" s="8"/>
      <c r="U128" s="8"/>
      <c r="V128" s="8"/>
      <c r="W128" s="11"/>
      <c r="X128" s="8"/>
      <c r="Y128" s="11"/>
      <c r="Z128" s="10"/>
      <c r="AA128" s="10"/>
      <c r="AB128" s="13">
        <f>IF(OR($Z128="",$AA128="",$Z128=0),"",($Z128-$AA128)/$Z128)</f>
      </c>
      <c r="AC128" s="8"/>
      <c r="AD128" s="11"/>
      <c r="AE128" s="8"/>
      <c r="AF128" s="8"/>
      <c r="AG128" s="8"/>
      <c r="AH128" s="11"/>
      <c r="AI128" s="10"/>
      <c r="AJ128" s="8"/>
      <c r="AK128" s="11"/>
      <c r="AL128" s="8">
        <f>IF($H128="","",IFERROR(VLOOKUP($H128,Справочники!$A$8:$B$22,2,0),""))</f>
      </c>
      <c r="AM128" s="8">
        <f>IF($AE128&lt;&gt;"",$AE128,IF(OR($H128="Выиграна",$H128="Договор заключён",$H128="Договор исполняется",$H128="Исполнен/закрыт"),"Выиграна",IF($H128="Проиграна","Проиграна",IF($H128="Отменена заказчиком","Отменена заказчиком",""))))</f>
      </c>
    </row>
    <row r="129" ht="18" customHeight="1" spans="1:39" x14ac:dyDescent="0.25">
      <c r="A129" s="7">
        <f>IF(COUNTA($B129:$K129)=0,"",COUNT($A$2:A128)+1)</f>
      </c>
      <c r="B129" s="8"/>
      <c r="C129" s="8"/>
      <c r="D129" s="8"/>
      <c r="E129" s="9"/>
      <c r="F129" s="10"/>
      <c r="G129" s="11"/>
      <c r="H129" s="8"/>
      <c r="I129" s="8"/>
      <c r="J129" s="8"/>
      <c r="K129" s="8"/>
      <c r="L129" s="8"/>
      <c r="M129" s="8"/>
      <c r="N129" s="12"/>
      <c r="O129" s="10">
        <f>IF($N129="","",IF($M129="Доллары",$N129*Справочники!$B$4,$N129))</f>
      </c>
      <c r="P129" s="8"/>
      <c r="Q129" s="8"/>
      <c r="R129" s="8"/>
      <c r="S129" s="10"/>
      <c r="T129" s="8"/>
      <c r="U129" s="8"/>
      <c r="V129" s="8"/>
      <c r="W129" s="11"/>
      <c r="X129" s="8"/>
      <c r="Y129" s="11"/>
      <c r="Z129" s="10"/>
      <c r="AA129" s="10"/>
      <c r="AB129" s="13">
        <f>IF(OR($Z129="",$AA129="",$Z129=0),"",($Z129-$AA129)/$Z129)</f>
      </c>
      <c r="AC129" s="8"/>
      <c r="AD129" s="11"/>
      <c r="AE129" s="8"/>
      <c r="AF129" s="8"/>
      <c r="AG129" s="8"/>
      <c r="AH129" s="11"/>
      <c r="AI129" s="10"/>
      <c r="AJ129" s="8"/>
      <c r="AK129" s="11"/>
      <c r="AL129" s="8">
        <f>IF($H129="","",IFERROR(VLOOKUP($H129,Справочники!$A$8:$B$22,2,0),""))</f>
      </c>
      <c r="AM129" s="8">
        <f>IF($AE129&lt;&gt;"",$AE129,IF(OR($H129="Выиграна",$H129="Договор заключён",$H129="Договор исполняется",$H129="Исполнен/закрыт"),"Выиграна",IF($H129="Проиграна","Проиграна",IF($H129="Отменена заказчиком","Отменена заказчиком",""))))</f>
      </c>
    </row>
    <row r="130" ht="18" customHeight="1" spans="1:39" x14ac:dyDescent="0.25">
      <c r="A130" s="7">
        <f>IF(COUNTA($B130:$K130)=0,"",COUNT($A$2:A129)+1)</f>
      </c>
      <c r="B130" s="8"/>
      <c r="C130" s="8"/>
      <c r="D130" s="8"/>
      <c r="E130" s="9"/>
      <c r="F130" s="10"/>
      <c r="G130" s="11"/>
      <c r="H130" s="8"/>
      <c r="I130" s="8"/>
      <c r="J130" s="8"/>
      <c r="K130" s="8"/>
      <c r="L130" s="8"/>
      <c r="M130" s="8"/>
      <c r="N130" s="12"/>
      <c r="O130" s="10">
        <f>IF($N130="","",IF($M130="Доллары",$N130*Справочники!$B$4,$N130))</f>
      </c>
      <c r="P130" s="8"/>
      <c r="Q130" s="8"/>
      <c r="R130" s="8"/>
      <c r="S130" s="10"/>
      <c r="T130" s="8"/>
      <c r="U130" s="8"/>
      <c r="V130" s="8"/>
      <c r="W130" s="11"/>
      <c r="X130" s="8"/>
      <c r="Y130" s="11"/>
      <c r="Z130" s="10"/>
      <c r="AA130" s="10"/>
      <c r="AB130" s="13">
        <f>IF(OR($Z130="",$AA130="",$Z130=0),"",($Z130-$AA130)/$Z130)</f>
      </c>
      <c r="AC130" s="8"/>
      <c r="AD130" s="11"/>
      <c r="AE130" s="8"/>
      <c r="AF130" s="8"/>
      <c r="AG130" s="8"/>
      <c r="AH130" s="11"/>
      <c r="AI130" s="10"/>
      <c r="AJ130" s="8"/>
      <c r="AK130" s="11"/>
      <c r="AL130" s="8">
        <f>IF($H130="","",IFERROR(VLOOKUP($H130,Справочники!$A$8:$B$22,2,0),""))</f>
      </c>
      <c r="AM130" s="8">
        <f>IF($AE130&lt;&gt;"",$AE130,IF(OR($H130="Выиграна",$H130="Договор заключён",$H130="Договор исполняется",$H130="Исполнен/закрыт"),"Выиграна",IF($H130="Проиграна","Проиграна",IF($H130="Отменена заказчиком","Отменена заказчиком",""))))</f>
      </c>
    </row>
    <row r="131" ht="18" customHeight="1" spans="1:39" x14ac:dyDescent="0.25">
      <c r="A131" s="7">
        <f>IF(COUNTA($B131:$K131)=0,"",COUNT($A$2:A130)+1)</f>
      </c>
      <c r="B131" s="8"/>
      <c r="C131" s="8"/>
      <c r="D131" s="8"/>
      <c r="E131" s="9"/>
      <c r="F131" s="10"/>
      <c r="G131" s="11"/>
      <c r="H131" s="8"/>
      <c r="I131" s="8"/>
      <c r="J131" s="8"/>
      <c r="K131" s="8"/>
      <c r="L131" s="8"/>
      <c r="M131" s="8"/>
      <c r="N131" s="12"/>
      <c r="O131" s="10">
        <f>IF($N131="","",IF($M131="Доллары",$N131*Справочники!$B$4,$N131))</f>
      </c>
      <c r="P131" s="8"/>
      <c r="Q131" s="8"/>
      <c r="R131" s="8"/>
      <c r="S131" s="10"/>
      <c r="T131" s="8"/>
      <c r="U131" s="8"/>
      <c r="V131" s="8"/>
      <c r="W131" s="11"/>
      <c r="X131" s="8"/>
      <c r="Y131" s="11"/>
      <c r="Z131" s="10"/>
      <c r="AA131" s="10"/>
      <c r="AB131" s="13">
        <f>IF(OR($Z131="",$AA131="",$Z131=0),"",($Z131-$AA131)/$Z131)</f>
      </c>
      <c r="AC131" s="8"/>
      <c r="AD131" s="11"/>
      <c r="AE131" s="8"/>
      <c r="AF131" s="8"/>
      <c r="AG131" s="8"/>
      <c r="AH131" s="11"/>
      <c r="AI131" s="10"/>
      <c r="AJ131" s="8"/>
      <c r="AK131" s="11"/>
      <c r="AL131" s="8">
        <f>IF($H131="","",IFERROR(VLOOKUP($H131,Справочники!$A$8:$B$22,2,0),""))</f>
      </c>
      <c r="AM131" s="8">
        <f>IF($AE131&lt;&gt;"",$AE131,IF(OR($H131="Выиграна",$H131="Договор заключён",$H131="Договор исполняется",$H131="Исполнен/закрыт"),"Выиграна",IF($H131="Проиграна","Проиграна",IF($H131="Отменена заказчиком","Отменена заказчиком",""))))</f>
      </c>
    </row>
    <row r="132" ht="18" customHeight="1" spans="1:39" x14ac:dyDescent="0.25">
      <c r="A132" s="7">
        <f>IF(COUNTA($B132:$K132)=0,"",COUNT($A$2:A131)+1)</f>
      </c>
      <c r="B132" s="8"/>
      <c r="C132" s="8"/>
      <c r="D132" s="8"/>
      <c r="E132" s="9"/>
      <c r="F132" s="10"/>
      <c r="G132" s="11"/>
      <c r="H132" s="8"/>
      <c r="I132" s="8"/>
      <c r="J132" s="8"/>
      <c r="K132" s="8"/>
      <c r="L132" s="8"/>
      <c r="M132" s="8"/>
      <c r="N132" s="12"/>
      <c r="O132" s="10">
        <f>IF($N132="","",IF($M132="Доллары",$N132*Справочники!$B$4,$N132))</f>
      </c>
      <c r="P132" s="8"/>
      <c r="Q132" s="8"/>
      <c r="R132" s="8"/>
      <c r="S132" s="10"/>
      <c r="T132" s="8"/>
      <c r="U132" s="8"/>
      <c r="V132" s="8"/>
      <c r="W132" s="11"/>
      <c r="X132" s="8"/>
      <c r="Y132" s="11"/>
      <c r="Z132" s="10"/>
      <c r="AA132" s="10"/>
      <c r="AB132" s="13">
        <f>IF(OR($Z132="",$AA132="",$Z132=0),"",($Z132-$AA132)/$Z132)</f>
      </c>
      <c r="AC132" s="8"/>
      <c r="AD132" s="11"/>
      <c r="AE132" s="8"/>
      <c r="AF132" s="8"/>
      <c r="AG132" s="8"/>
      <c r="AH132" s="11"/>
      <c r="AI132" s="10"/>
      <c r="AJ132" s="8"/>
      <c r="AK132" s="11"/>
      <c r="AL132" s="8">
        <f>IF($H132="","",IFERROR(VLOOKUP($H132,Справочники!$A$8:$B$22,2,0),""))</f>
      </c>
      <c r="AM132" s="8">
        <f>IF($AE132&lt;&gt;"",$AE132,IF(OR($H132="Выиграна",$H132="Договор заключён",$H132="Договор исполняется",$H132="Исполнен/закрыт"),"Выиграна",IF($H132="Проиграна","Проиграна",IF($H132="Отменена заказчиком","Отменена заказчиком",""))))</f>
      </c>
    </row>
    <row r="133" ht="18" customHeight="1" spans="1:39" x14ac:dyDescent="0.25">
      <c r="A133" s="7">
        <f>IF(COUNTA($B133:$K133)=0,"",COUNT($A$2:A132)+1)</f>
      </c>
      <c r="B133" s="8"/>
      <c r="C133" s="8"/>
      <c r="D133" s="8"/>
      <c r="E133" s="9"/>
      <c r="F133" s="10"/>
      <c r="G133" s="11"/>
      <c r="H133" s="8"/>
      <c r="I133" s="8"/>
      <c r="J133" s="8"/>
      <c r="K133" s="8"/>
      <c r="L133" s="8"/>
      <c r="M133" s="8"/>
      <c r="N133" s="12"/>
      <c r="O133" s="10">
        <f>IF($N133="","",IF($M133="Доллары",$N133*Справочники!$B$4,$N133))</f>
      </c>
      <c r="P133" s="8"/>
      <c r="Q133" s="8"/>
      <c r="R133" s="8"/>
      <c r="S133" s="10"/>
      <c r="T133" s="8"/>
      <c r="U133" s="8"/>
      <c r="V133" s="8"/>
      <c r="W133" s="11"/>
      <c r="X133" s="8"/>
      <c r="Y133" s="11"/>
      <c r="Z133" s="10"/>
      <c r="AA133" s="10"/>
      <c r="AB133" s="13">
        <f>IF(OR($Z133="",$AA133="",$Z133=0),"",($Z133-$AA133)/$Z133)</f>
      </c>
      <c r="AC133" s="8"/>
      <c r="AD133" s="11"/>
      <c r="AE133" s="8"/>
      <c r="AF133" s="8"/>
      <c r="AG133" s="8"/>
      <c r="AH133" s="11"/>
      <c r="AI133" s="10"/>
      <c r="AJ133" s="8"/>
      <c r="AK133" s="11"/>
      <c r="AL133" s="8">
        <f>IF($H133="","",IFERROR(VLOOKUP($H133,Справочники!$A$8:$B$22,2,0),""))</f>
      </c>
      <c r="AM133" s="8">
        <f>IF($AE133&lt;&gt;"",$AE133,IF(OR($H133="Выиграна",$H133="Договор заключён",$H133="Договор исполняется",$H133="Исполнен/закрыт"),"Выиграна",IF($H133="Проиграна","Проиграна",IF($H133="Отменена заказчиком","Отменена заказчиком",""))))</f>
      </c>
    </row>
    <row r="134" ht="18" customHeight="1" spans="1:39" x14ac:dyDescent="0.25">
      <c r="A134" s="7">
        <f>IF(COUNTA($B134:$K134)=0,"",COUNT($A$2:A133)+1)</f>
      </c>
      <c r="B134" s="8"/>
      <c r="C134" s="8"/>
      <c r="D134" s="8"/>
      <c r="E134" s="9"/>
      <c r="F134" s="10"/>
      <c r="G134" s="11"/>
      <c r="H134" s="8"/>
      <c r="I134" s="8"/>
      <c r="J134" s="8"/>
      <c r="K134" s="8"/>
      <c r="L134" s="8"/>
      <c r="M134" s="8"/>
      <c r="N134" s="12"/>
      <c r="O134" s="10">
        <f>IF($N134="","",IF($M134="Доллары",$N134*Справочники!$B$4,$N134))</f>
      </c>
      <c r="P134" s="8"/>
      <c r="Q134" s="8"/>
      <c r="R134" s="8"/>
      <c r="S134" s="10"/>
      <c r="T134" s="8"/>
      <c r="U134" s="8"/>
      <c r="V134" s="8"/>
      <c r="W134" s="11"/>
      <c r="X134" s="8"/>
      <c r="Y134" s="11"/>
      <c r="Z134" s="10"/>
      <c r="AA134" s="10"/>
      <c r="AB134" s="13">
        <f>IF(OR($Z134="",$AA134="",$Z134=0),"",($Z134-$AA134)/$Z134)</f>
      </c>
      <c r="AC134" s="8"/>
      <c r="AD134" s="11"/>
      <c r="AE134" s="8"/>
      <c r="AF134" s="8"/>
      <c r="AG134" s="8"/>
      <c r="AH134" s="11"/>
      <c r="AI134" s="10"/>
      <c r="AJ134" s="8"/>
      <c r="AK134" s="11"/>
      <c r="AL134" s="8">
        <f>IF($H134="","",IFERROR(VLOOKUP($H134,Справочники!$A$8:$B$22,2,0),""))</f>
      </c>
      <c r="AM134" s="8">
        <f>IF($AE134&lt;&gt;"",$AE134,IF(OR($H134="Выиграна",$H134="Договор заключён",$H134="Договор исполняется",$H134="Исполнен/закрыт"),"Выиграна",IF($H134="Проиграна","Проиграна",IF($H134="Отменена заказчиком","Отменена заказчиком",""))))</f>
      </c>
    </row>
    <row r="135" ht="18" customHeight="1" spans="1:39" x14ac:dyDescent="0.25">
      <c r="A135" s="7">
        <f>IF(COUNTA($B135:$K135)=0,"",COUNT($A$2:A134)+1)</f>
      </c>
      <c r="B135" s="8"/>
      <c r="C135" s="8"/>
      <c r="D135" s="8"/>
      <c r="E135" s="9"/>
      <c r="F135" s="10"/>
      <c r="G135" s="11"/>
      <c r="H135" s="8"/>
      <c r="I135" s="8"/>
      <c r="J135" s="8"/>
      <c r="K135" s="8"/>
      <c r="L135" s="8"/>
      <c r="M135" s="8"/>
      <c r="N135" s="12"/>
      <c r="O135" s="10">
        <f>IF($N135="","",IF($M135="Доллары",$N135*Справочники!$B$4,$N135))</f>
      </c>
      <c r="P135" s="8"/>
      <c r="Q135" s="8"/>
      <c r="R135" s="8"/>
      <c r="S135" s="10"/>
      <c r="T135" s="8"/>
      <c r="U135" s="8"/>
      <c r="V135" s="8"/>
      <c r="W135" s="11"/>
      <c r="X135" s="8"/>
      <c r="Y135" s="11"/>
      <c r="Z135" s="10"/>
      <c r="AA135" s="10"/>
      <c r="AB135" s="13">
        <f>IF(OR($Z135="",$AA135="",$Z135=0),"",($Z135-$AA135)/$Z135)</f>
      </c>
      <c r="AC135" s="8"/>
      <c r="AD135" s="11"/>
      <c r="AE135" s="8"/>
      <c r="AF135" s="8"/>
      <c r="AG135" s="8"/>
      <c r="AH135" s="11"/>
      <c r="AI135" s="10"/>
      <c r="AJ135" s="8"/>
      <c r="AK135" s="11"/>
      <c r="AL135" s="8">
        <f>IF($H135="","",IFERROR(VLOOKUP($H135,Справочники!$A$8:$B$22,2,0),""))</f>
      </c>
      <c r="AM135" s="8">
        <f>IF($AE135&lt;&gt;"",$AE135,IF(OR($H135="Выиграна",$H135="Договор заключён",$H135="Договор исполняется",$H135="Исполнен/закрыт"),"Выиграна",IF($H135="Проиграна","Проиграна",IF($H135="Отменена заказчиком","Отменена заказчиком",""))))</f>
      </c>
    </row>
    <row r="136" ht="18" customHeight="1" spans="1:39" x14ac:dyDescent="0.25">
      <c r="A136" s="7">
        <f>IF(COUNTA($B136:$K136)=0,"",COUNT($A$2:A135)+1)</f>
      </c>
      <c r="B136" s="8"/>
      <c r="C136" s="8"/>
      <c r="D136" s="8"/>
      <c r="E136" s="9"/>
      <c r="F136" s="10"/>
      <c r="G136" s="11"/>
      <c r="H136" s="8"/>
      <c r="I136" s="8"/>
      <c r="J136" s="8"/>
      <c r="K136" s="8"/>
      <c r="L136" s="8"/>
      <c r="M136" s="8"/>
      <c r="N136" s="12"/>
      <c r="O136" s="10">
        <f>IF($N136="","",IF($M136="Доллары",$N136*Справочники!$B$4,$N136))</f>
      </c>
      <c r="P136" s="8"/>
      <c r="Q136" s="8"/>
      <c r="R136" s="8"/>
      <c r="S136" s="10"/>
      <c r="T136" s="8"/>
      <c r="U136" s="8"/>
      <c r="V136" s="8"/>
      <c r="W136" s="11"/>
      <c r="X136" s="8"/>
      <c r="Y136" s="11"/>
      <c r="Z136" s="10"/>
      <c r="AA136" s="10"/>
      <c r="AB136" s="13">
        <f>IF(OR($Z136="",$AA136="",$Z136=0),"",($Z136-$AA136)/$Z136)</f>
      </c>
      <c r="AC136" s="8"/>
      <c r="AD136" s="11"/>
      <c r="AE136" s="8"/>
      <c r="AF136" s="8"/>
      <c r="AG136" s="8"/>
      <c r="AH136" s="11"/>
      <c r="AI136" s="10"/>
      <c r="AJ136" s="8"/>
      <c r="AK136" s="11"/>
      <c r="AL136" s="8">
        <f>IF($H136="","",IFERROR(VLOOKUP($H136,Справочники!$A$8:$B$22,2,0),""))</f>
      </c>
      <c r="AM136" s="8">
        <f>IF($AE136&lt;&gt;"",$AE136,IF(OR($H136="Выиграна",$H136="Договор заключён",$H136="Договор исполняется",$H136="Исполнен/закрыт"),"Выиграна",IF($H136="Проиграна","Проиграна",IF($H136="Отменена заказчиком","Отменена заказчиком",""))))</f>
      </c>
    </row>
    <row r="137" ht="18" customHeight="1" spans="1:39" x14ac:dyDescent="0.25">
      <c r="A137" s="7">
        <f>IF(COUNTA($B137:$K137)=0,"",COUNT($A$2:A136)+1)</f>
      </c>
      <c r="B137" s="8"/>
      <c r="C137" s="8"/>
      <c r="D137" s="8"/>
      <c r="E137" s="9"/>
      <c r="F137" s="10"/>
      <c r="G137" s="11"/>
      <c r="H137" s="8"/>
      <c r="I137" s="8"/>
      <c r="J137" s="8"/>
      <c r="K137" s="8"/>
      <c r="L137" s="8"/>
      <c r="M137" s="8"/>
      <c r="N137" s="12"/>
      <c r="O137" s="10">
        <f>IF($N137="","",IF($M137="Доллары",$N137*Справочники!$B$4,$N137))</f>
      </c>
      <c r="P137" s="8"/>
      <c r="Q137" s="8"/>
      <c r="R137" s="8"/>
      <c r="S137" s="10"/>
      <c r="T137" s="8"/>
      <c r="U137" s="8"/>
      <c r="V137" s="8"/>
      <c r="W137" s="11"/>
      <c r="X137" s="8"/>
      <c r="Y137" s="11"/>
      <c r="Z137" s="10"/>
      <c r="AA137" s="10"/>
      <c r="AB137" s="13">
        <f>IF(OR($Z137="",$AA137="",$Z137=0),"",($Z137-$AA137)/$Z137)</f>
      </c>
      <c r="AC137" s="8"/>
      <c r="AD137" s="11"/>
      <c r="AE137" s="8"/>
      <c r="AF137" s="8"/>
      <c r="AG137" s="8"/>
      <c r="AH137" s="11"/>
      <c r="AI137" s="10"/>
      <c r="AJ137" s="8"/>
      <c r="AK137" s="11"/>
      <c r="AL137" s="8">
        <f>IF($H137="","",IFERROR(VLOOKUP($H137,Справочники!$A$8:$B$22,2,0),""))</f>
      </c>
      <c r="AM137" s="8">
        <f>IF($AE137&lt;&gt;"",$AE137,IF(OR($H137="Выиграна",$H137="Договор заключён",$H137="Договор исполняется",$H137="Исполнен/закрыт"),"Выиграна",IF($H137="Проиграна","Проиграна",IF($H137="Отменена заказчиком","Отменена заказчиком",""))))</f>
      </c>
    </row>
    <row r="138" ht="18" customHeight="1" spans="1:39" x14ac:dyDescent="0.25">
      <c r="A138" s="7">
        <f>IF(COUNTA($B138:$K138)=0,"",COUNT($A$2:A137)+1)</f>
      </c>
      <c r="B138" s="8"/>
      <c r="C138" s="8"/>
      <c r="D138" s="8"/>
      <c r="E138" s="9"/>
      <c r="F138" s="10"/>
      <c r="G138" s="11"/>
      <c r="H138" s="8"/>
      <c r="I138" s="8"/>
      <c r="J138" s="8"/>
      <c r="K138" s="8"/>
      <c r="L138" s="8"/>
      <c r="M138" s="8"/>
      <c r="N138" s="12"/>
      <c r="O138" s="10">
        <f>IF($N138="","",IF($M138="Доллары",$N138*Справочники!$B$4,$N138))</f>
      </c>
      <c r="P138" s="8"/>
      <c r="Q138" s="8"/>
      <c r="R138" s="8"/>
      <c r="S138" s="10"/>
      <c r="T138" s="8"/>
      <c r="U138" s="8"/>
      <c r="V138" s="8"/>
      <c r="W138" s="11"/>
      <c r="X138" s="8"/>
      <c r="Y138" s="11"/>
      <c r="Z138" s="10"/>
      <c r="AA138" s="10"/>
      <c r="AB138" s="13">
        <f>IF(OR($Z138="",$AA138="",$Z138=0),"",($Z138-$AA138)/$Z138)</f>
      </c>
      <c r="AC138" s="8"/>
      <c r="AD138" s="11"/>
      <c r="AE138" s="8"/>
      <c r="AF138" s="8"/>
      <c r="AG138" s="8"/>
      <c r="AH138" s="11"/>
      <c r="AI138" s="10"/>
      <c r="AJ138" s="8"/>
      <c r="AK138" s="11"/>
      <c r="AL138" s="8">
        <f>IF($H138="","",IFERROR(VLOOKUP($H138,Справочники!$A$8:$B$22,2,0),""))</f>
      </c>
      <c r="AM138" s="8">
        <f>IF($AE138&lt;&gt;"",$AE138,IF(OR($H138="Выиграна",$H138="Договор заключён",$H138="Договор исполняется",$H138="Исполнен/закрыт"),"Выиграна",IF($H138="Проиграна","Проиграна",IF($H138="Отменена заказчиком","Отменена заказчиком",""))))</f>
      </c>
    </row>
    <row r="139" ht="18" customHeight="1" spans="1:39" x14ac:dyDescent="0.25">
      <c r="A139" s="7">
        <f>IF(COUNTA($B139:$K139)=0,"",COUNT($A$2:A138)+1)</f>
      </c>
      <c r="B139" s="8"/>
      <c r="C139" s="8"/>
      <c r="D139" s="8"/>
      <c r="E139" s="9"/>
      <c r="F139" s="10"/>
      <c r="G139" s="11"/>
      <c r="H139" s="8"/>
      <c r="I139" s="8"/>
      <c r="J139" s="8"/>
      <c r="K139" s="8"/>
      <c r="L139" s="8"/>
      <c r="M139" s="8"/>
      <c r="N139" s="12"/>
      <c r="O139" s="10">
        <f>IF($N139="","",IF($M139="Доллары",$N139*Справочники!$B$4,$N139))</f>
      </c>
      <c r="P139" s="8"/>
      <c r="Q139" s="8"/>
      <c r="R139" s="8"/>
      <c r="S139" s="10"/>
      <c r="T139" s="8"/>
      <c r="U139" s="8"/>
      <c r="V139" s="8"/>
      <c r="W139" s="11"/>
      <c r="X139" s="8"/>
      <c r="Y139" s="11"/>
      <c r="Z139" s="10"/>
      <c r="AA139" s="10"/>
      <c r="AB139" s="13">
        <f>IF(OR($Z139="",$AA139="",$Z139=0),"",($Z139-$AA139)/$Z139)</f>
      </c>
      <c r="AC139" s="8"/>
      <c r="AD139" s="11"/>
      <c r="AE139" s="8"/>
      <c r="AF139" s="8"/>
      <c r="AG139" s="8"/>
      <c r="AH139" s="11"/>
      <c r="AI139" s="10"/>
      <c r="AJ139" s="8"/>
      <c r="AK139" s="11"/>
      <c r="AL139" s="8">
        <f>IF($H139="","",IFERROR(VLOOKUP($H139,Справочники!$A$8:$B$22,2,0),""))</f>
      </c>
      <c r="AM139" s="8">
        <f>IF($AE139&lt;&gt;"",$AE139,IF(OR($H139="Выиграна",$H139="Договор заключён",$H139="Договор исполняется",$H139="Исполнен/закрыт"),"Выиграна",IF($H139="Проиграна","Проиграна",IF($H139="Отменена заказчиком","Отменена заказчиком",""))))</f>
      </c>
    </row>
    <row r="140" ht="18" customHeight="1" spans="1:39" x14ac:dyDescent="0.25">
      <c r="A140" s="7">
        <f>IF(COUNTA($B140:$K140)=0,"",COUNT($A$2:A139)+1)</f>
      </c>
      <c r="B140" s="8"/>
      <c r="C140" s="8"/>
      <c r="D140" s="8"/>
      <c r="E140" s="9"/>
      <c r="F140" s="10"/>
      <c r="G140" s="11"/>
      <c r="H140" s="8"/>
      <c r="I140" s="8"/>
      <c r="J140" s="8"/>
      <c r="K140" s="8"/>
      <c r="L140" s="8"/>
      <c r="M140" s="8"/>
      <c r="N140" s="12"/>
      <c r="O140" s="10">
        <f>IF($N140="","",IF($M140="Доллары",$N140*Справочники!$B$4,$N140))</f>
      </c>
      <c r="P140" s="8"/>
      <c r="Q140" s="8"/>
      <c r="R140" s="8"/>
      <c r="S140" s="10"/>
      <c r="T140" s="8"/>
      <c r="U140" s="8"/>
      <c r="V140" s="8"/>
      <c r="W140" s="11"/>
      <c r="X140" s="8"/>
      <c r="Y140" s="11"/>
      <c r="Z140" s="10"/>
      <c r="AA140" s="10"/>
      <c r="AB140" s="13">
        <f>IF(OR($Z140="",$AA140="",$Z140=0),"",($Z140-$AA140)/$Z140)</f>
      </c>
      <c r="AC140" s="8"/>
      <c r="AD140" s="11"/>
      <c r="AE140" s="8"/>
      <c r="AF140" s="8"/>
      <c r="AG140" s="8"/>
      <c r="AH140" s="11"/>
      <c r="AI140" s="10"/>
      <c r="AJ140" s="8"/>
      <c r="AK140" s="11"/>
      <c r="AL140" s="8">
        <f>IF($H140="","",IFERROR(VLOOKUP($H140,Справочники!$A$8:$B$22,2,0),""))</f>
      </c>
      <c r="AM140" s="8">
        <f>IF($AE140&lt;&gt;"",$AE140,IF(OR($H140="Выиграна",$H140="Договор заключён",$H140="Договор исполняется",$H140="Исполнен/закрыт"),"Выиграна",IF($H140="Проиграна","Проиграна",IF($H140="Отменена заказчиком","Отменена заказчиком",""))))</f>
      </c>
    </row>
    <row r="141" ht="18" customHeight="1" spans="1:39" x14ac:dyDescent="0.25">
      <c r="A141" s="7">
        <f>IF(COUNTA($B141:$K141)=0,"",COUNT($A$2:A140)+1)</f>
      </c>
      <c r="B141" s="8"/>
      <c r="C141" s="8"/>
      <c r="D141" s="8"/>
      <c r="E141" s="9"/>
      <c r="F141" s="10"/>
      <c r="G141" s="11"/>
      <c r="H141" s="8"/>
      <c r="I141" s="8"/>
      <c r="J141" s="8"/>
      <c r="K141" s="8"/>
      <c r="L141" s="8"/>
      <c r="M141" s="8"/>
      <c r="N141" s="12"/>
      <c r="O141" s="10">
        <f>IF($N141="","",IF($M141="Доллары",$N141*Справочники!$B$4,$N141))</f>
      </c>
      <c r="P141" s="8"/>
      <c r="Q141" s="8"/>
      <c r="R141" s="8"/>
      <c r="S141" s="10"/>
      <c r="T141" s="8"/>
      <c r="U141" s="8"/>
      <c r="V141" s="8"/>
      <c r="W141" s="11"/>
      <c r="X141" s="8"/>
      <c r="Y141" s="11"/>
      <c r="Z141" s="10"/>
      <c r="AA141" s="10"/>
      <c r="AB141" s="13">
        <f>IF(OR($Z141="",$AA141="",$Z141=0),"",($Z141-$AA141)/$Z141)</f>
      </c>
      <c r="AC141" s="8"/>
      <c r="AD141" s="11"/>
      <c r="AE141" s="8"/>
      <c r="AF141" s="8"/>
      <c r="AG141" s="8"/>
      <c r="AH141" s="11"/>
      <c r="AI141" s="10"/>
      <c r="AJ141" s="8"/>
      <c r="AK141" s="11"/>
      <c r="AL141" s="8">
        <f>IF($H141="","",IFERROR(VLOOKUP($H141,Справочники!$A$8:$B$22,2,0),""))</f>
      </c>
      <c r="AM141" s="8">
        <f>IF($AE141&lt;&gt;"",$AE141,IF(OR($H141="Выиграна",$H141="Договор заключён",$H141="Договор исполняется",$H141="Исполнен/закрыт"),"Выиграна",IF($H141="Проиграна","Проиграна",IF($H141="Отменена заказчиком","Отменена заказчиком",""))))</f>
      </c>
    </row>
    <row r="142" ht="18" customHeight="1" spans="1:39" x14ac:dyDescent="0.25">
      <c r="A142" s="7">
        <f>IF(COUNTA($B142:$K142)=0,"",COUNT($A$2:A141)+1)</f>
      </c>
      <c r="B142" s="8"/>
      <c r="C142" s="8"/>
      <c r="D142" s="8"/>
      <c r="E142" s="9"/>
      <c r="F142" s="10"/>
      <c r="G142" s="11"/>
      <c r="H142" s="8"/>
      <c r="I142" s="8"/>
      <c r="J142" s="8"/>
      <c r="K142" s="8"/>
      <c r="L142" s="8"/>
      <c r="M142" s="8"/>
      <c r="N142" s="12"/>
      <c r="O142" s="10">
        <f>IF($N142="","",IF($M142="Доллары",$N142*Справочники!$B$4,$N142))</f>
      </c>
      <c r="P142" s="8"/>
      <c r="Q142" s="8"/>
      <c r="R142" s="8"/>
      <c r="S142" s="10"/>
      <c r="T142" s="8"/>
      <c r="U142" s="8"/>
      <c r="V142" s="8"/>
      <c r="W142" s="11"/>
      <c r="X142" s="8"/>
      <c r="Y142" s="11"/>
      <c r="Z142" s="10"/>
      <c r="AA142" s="10"/>
      <c r="AB142" s="13">
        <f>IF(OR($Z142="",$AA142="",$Z142=0),"",($Z142-$AA142)/$Z142)</f>
      </c>
      <c r="AC142" s="8"/>
      <c r="AD142" s="11"/>
      <c r="AE142" s="8"/>
      <c r="AF142" s="8"/>
      <c r="AG142" s="8"/>
      <c r="AH142" s="11"/>
      <c r="AI142" s="10"/>
      <c r="AJ142" s="8"/>
      <c r="AK142" s="11"/>
      <c r="AL142" s="8">
        <f>IF($H142="","",IFERROR(VLOOKUP($H142,Справочники!$A$8:$B$22,2,0),""))</f>
      </c>
      <c r="AM142" s="8">
        <f>IF($AE142&lt;&gt;"",$AE142,IF(OR($H142="Выиграна",$H142="Договор заключён",$H142="Договор исполняется",$H142="Исполнен/закрыт"),"Выиграна",IF($H142="Проиграна","Проиграна",IF($H142="Отменена заказчиком","Отменена заказчиком",""))))</f>
      </c>
    </row>
    <row r="143" ht="18" customHeight="1" spans="1:39" x14ac:dyDescent="0.25">
      <c r="A143" s="7">
        <f>IF(COUNTA($B143:$K143)=0,"",COUNT($A$2:A142)+1)</f>
      </c>
      <c r="B143" s="8"/>
      <c r="C143" s="8"/>
      <c r="D143" s="8"/>
      <c r="E143" s="9"/>
      <c r="F143" s="10"/>
      <c r="G143" s="11"/>
      <c r="H143" s="8"/>
      <c r="I143" s="8"/>
      <c r="J143" s="8"/>
      <c r="K143" s="8"/>
      <c r="L143" s="8"/>
      <c r="M143" s="8"/>
      <c r="N143" s="12"/>
      <c r="O143" s="10">
        <f>IF($N143="","",IF($M143="Доллары",$N143*Справочники!$B$4,$N143))</f>
      </c>
      <c r="P143" s="8"/>
      <c r="Q143" s="8"/>
      <c r="R143" s="8"/>
      <c r="S143" s="10"/>
      <c r="T143" s="8"/>
      <c r="U143" s="8"/>
      <c r="V143" s="8"/>
      <c r="W143" s="11"/>
      <c r="X143" s="8"/>
      <c r="Y143" s="11"/>
      <c r="Z143" s="10"/>
      <c r="AA143" s="10"/>
      <c r="AB143" s="13">
        <f>IF(OR($Z143="",$AA143="",$Z143=0),"",($Z143-$AA143)/$Z143)</f>
      </c>
      <c r="AC143" s="8"/>
      <c r="AD143" s="11"/>
      <c r="AE143" s="8"/>
      <c r="AF143" s="8"/>
      <c r="AG143" s="8"/>
      <c r="AH143" s="11"/>
      <c r="AI143" s="10"/>
      <c r="AJ143" s="8"/>
      <c r="AK143" s="11"/>
      <c r="AL143" s="8">
        <f>IF($H143="","",IFERROR(VLOOKUP($H143,Справочники!$A$8:$B$22,2,0),""))</f>
      </c>
      <c r="AM143" s="8">
        <f>IF($AE143&lt;&gt;"",$AE143,IF(OR($H143="Выиграна",$H143="Договор заключён",$H143="Договор исполняется",$H143="Исполнен/закрыт"),"Выиграна",IF($H143="Проиграна","Проиграна",IF($H143="Отменена заказчиком","Отменена заказчиком",""))))</f>
      </c>
    </row>
    <row r="144" ht="18" customHeight="1" spans="1:39" x14ac:dyDescent="0.25">
      <c r="A144" s="7">
        <f>IF(COUNTA($B144:$K144)=0,"",COUNT($A$2:A143)+1)</f>
      </c>
      <c r="B144" s="8"/>
      <c r="C144" s="8"/>
      <c r="D144" s="8"/>
      <c r="E144" s="9"/>
      <c r="F144" s="10"/>
      <c r="G144" s="11"/>
      <c r="H144" s="8"/>
      <c r="I144" s="8"/>
      <c r="J144" s="8"/>
      <c r="K144" s="8"/>
      <c r="L144" s="8"/>
      <c r="M144" s="8"/>
      <c r="N144" s="12"/>
      <c r="O144" s="10">
        <f>IF($N144="","",IF($M144="Доллары",$N144*Справочники!$B$4,$N144))</f>
      </c>
      <c r="P144" s="8"/>
      <c r="Q144" s="8"/>
      <c r="R144" s="8"/>
      <c r="S144" s="10"/>
      <c r="T144" s="8"/>
      <c r="U144" s="8"/>
      <c r="V144" s="8"/>
      <c r="W144" s="11"/>
      <c r="X144" s="8"/>
      <c r="Y144" s="11"/>
      <c r="Z144" s="10"/>
      <c r="AA144" s="10"/>
      <c r="AB144" s="13">
        <f>IF(OR($Z144="",$AA144="",$Z144=0),"",($Z144-$AA144)/$Z144)</f>
      </c>
      <c r="AC144" s="8"/>
      <c r="AD144" s="11"/>
      <c r="AE144" s="8"/>
      <c r="AF144" s="8"/>
      <c r="AG144" s="8"/>
      <c r="AH144" s="11"/>
      <c r="AI144" s="10"/>
      <c r="AJ144" s="8"/>
      <c r="AK144" s="11"/>
      <c r="AL144" s="8">
        <f>IF($H144="","",IFERROR(VLOOKUP($H144,Справочники!$A$8:$B$22,2,0),""))</f>
      </c>
      <c r="AM144" s="8">
        <f>IF($AE144&lt;&gt;"",$AE144,IF(OR($H144="Выиграна",$H144="Договор заключён",$H144="Договор исполняется",$H144="Исполнен/закрыт"),"Выиграна",IF($H144="Проиграна","Проиграна",IF($H144="Отменена заказчиком","Отменена заказчиком",""))))</f>
      </c>
    </row>
    <row r="145" ht="18" customHeight="1" spans="1:39" x14ac:dyDescent="0.25">
      <c r="A145" s="7">
        <f>IF(COUNTA($B145:$K145)=0,"",COUNT($A$2:A144)+1)</f>
      </c>
      <c r="B145" s="8"/>
      <c r="C145" s="8"/>
      <c r="D145" s="8"/>
      <c r="E145" s="9"/>
      <c r="F145" s="10"/>
      <c r="G145" s="11"/>
      <c r="H145" s="8"/>
      <c r="I145" s="8"/>
      <c r="J145" s="8"/>
      <c r="K145" s="8"/>
      <c r="L145" s="8"/>
      <c r="M145" s="8"/>
      <c r="N145" s="12"/>
      <c r="O145" s="10">
        <f>IF($N145="","",IF($M145="Доллары",$N145*Справочники!$B$4,$N145))</f>
      </c>
      <c r="P145" s="8"/>
      <c r="Q145" s="8"/>
      <c r="R145" s="8"/>
      <c r="S145" s="10"/>
      <c r="T145" s="8"/>
      <c r="U145" s="8"/>
      <c r="V145" s="8"/>
      <c r="W145" s="11"/>
      <c r="X145" s="8"/>
      <c r="Y145" s="11"/>
      <c r="Z145" s="10"/>
      <c r="AA145" s="10"/>
      <c r="AB145" s="13">
        <f>IF(OR($Z145="",$AA145="",$Z145=0),"",($Z145-$AA145)/$Z145)</f>
      </c>
      <c r="AC145" s="8"/>
      <c r="AD145" s="11"/>
      <c r="AE145" s="8"/>
      <c r="AF145" s="8"/>
      <c r="AG145" s="8"/>
      <c r="AH145" s="11"/>
      <c r="AI145" s="10"/>
      <c r="AJ145" s="8"/>
      <c r="AK145" s="11"/>
      <c r="AL145" s="8">
        <f>IF($H145="","",IFERROR(VLOOKUP($H145,Справочники!$A$8:$B$22,2,0),""))</f>
      </c>
      <c r="AM145" s="8">
        <f>IF($AE145&lt;&gt;"",$AE145,IF(OR($H145="Выиграна",$H145="Договор заключён",$H145="Договор исполняется",$H145="Исполнен/закрыт"),"Выиграна",IF($H145="Проиграна","Проиграна",IF($H145="Отменена заказчиком","Отменена заказчиком",""))))</f>
      </c>
    </row>
    <row r="146" ht="18" customHeight="1" spans="1:39" x14ac:dyDescent="0.25">
      <c r="A146" s="7">
        <f>IF(COUNTA($B146:$K146)=0,"",COUNT($A$2:A145)+1)</f>
      </c>
      <c r="B146" s="8"/>
      <c r="C146" s="8"/>
      <c r="D146" s="8"/>
      <c r="E146" s="9"/>
      <c r="F146" s="10"/>
      <c r="G146" s="11"/>
      <c r="H146" s="8"/>
      <c r="I146" s="8"/>
      <c r="J146" s="8"/>
      <c r="K146" s="8"/>
      <c r="L146" s="8"/>
      <c r="M146" s="8"/>
      <c r="N146" s="12"/>
      <c r="O146" s="10">
        <f>IF($N146="","",IF($M146="Доллары",$N146*Справочники!$B$4,$N146))</f>
      </c>
      <c r="P146" s="8"/>
      <c r="Q146" s="8"/>
      <c r="R146" s="8"/>
      <c r="S146" s="10"/>
      <c r="T146" s="8"/>
      <c r="U146" s="8"/>
      <c r="V146" s="8"/>
      <c r="W146" s="11"/>
      <c r="X146" s="8"/>
      <c r="Y146" s="11"/>
      <c r="Z146" s="10"/>
      <c r="AA146" s="10"/>
      <c r="AB146" s="13">
        <f>IF(OR($Z146="",$AA146="",$Z146=0),"",($Z146-$AA146)/$Z146)</f>
      </c>
      <c r="AC146" s="8"/>
      <c r="AD146" s="11"/>
      <c r="AE146" s="8"/>
      <c r="AF146" s="8"/>
      <c r="AG146" s="8"/>
      <c r="AH146" s="11"/>
      <c r="AI146" s="10"/>
      <c r="AJ146" s="8"/>
      <c r="AK146" s="11"/>
      <c r="AL146" s="8">
        <f>IF($H146="","",IFERROR(VLOOKUP($H146,Справочники!$A$8:$B$22,2,0),""))</f>
      </c>
      <c r="AM146" s="8">
        <f>IF($AE146&lt;&gt;"",$AE146,IF(OR($H146="Выиграна",$H146="Договор заключён",$H146="Договор исполняется",$H146="Исполнен/закрыт"),"Выиграна",IF($H146="Проиграна","Проиграна",IF($H146="Отменена заказчиком","Отменена заказчиком",""))))</f>
      </c>
    </row>
    <row r="147" ht="18" customHeight="1" spans="1:39" x14ac:dyDescent="0.25">
      <c r="A147" s="7">
        <f>IF(COUNTA($B147:$K147)=0,"",COUNT($A$2:A146)+1)</f>
      </c>
      <c r="B147" s="8"/>
      <c r="C147" s="8"/>
      <c r="D147" s="8"/>
      <c r="E147" s="9"/>
      <c r="F147" s="10"/>
      <c r="G147" s="11"/>
      <c r="H147" s="8"/>
      <c r="I147" s="8"/>
      <c r="J147" s="8"/>
      <c r="K147" s="8"/>
      <c r="L147" s="8"/>
      <c r="M147" s="8"/>
      <c r="N147" s="12"/>
      <c r="O147" s="10">
        <f>IF($N147="","",IF($M147="Доллары",$N147*Справочники!$B$4,$N147))</f>
      </c>
      <c r="P147" s="8"/>
      <c r="Q147" s="8"/>
      <c r="R147" s="8"/>
      <c r="S147" s="10"/>
      <c r="T147" s="8"/>
      <c r="U147" s="8"/>
      <c r="V147" s="8"/>
      <c r="W147" s="11"/>
      <c r="X147" s="8"/>
      <c r="Y147" s="11"/>
      <c r="Z147" s="10"/>
      <c r="AA147" s="10"/>
      <c r="AB147" s="13">
        <f>IF(OR($Z147="",$AA147="",$Z147=0),"",($Z147-$AA147)/$Z147)</f>
      </c>
      <c r="AC147" s="8"/>
      <c r="AD147" s="11"/>
      <c r="AE147" s="8"/>
      <c r="AF147" s="8"/>
      <c r="AG147" s="8"/>
      <c r="AH147" s="11"/>
      <c r="AI147" s="10"/>
      <c r="AJ147" s="8"/>
      <c r="AK147" s="11"/>
      <c r="AL147" s="8">
        <f>IF($H147="","",IFERROR(VLOOKUP($H147,Справочники!$A$8:$B$22,2,0),""))</f>
      </c>
      <c r="AM147" s="8">
        <f>IF($AE147&lt;&gt;"",$AE147,IF(OR($H147="Выиграна",$H147="Договор заключён",$H147="Договор исполняется",$H147="Исполнен/закрыт"),"Выиграна",IF($H147="Проиграна","Проиграна",IF($H147="Отменена заказчиком","Отменена заказчиком",""))))</f>
      </c>
    </row>
    <row r="148" ht="18" customHeight="1" spans="1:39" x14ac:dyDescent="0.25">
      <c r="A148" s="7">
        <f>IF(COUNTA($B148:$K148)=0,"",COUNT($A$2:A147)+1)</f>
      </c>
      <c r="B148" s="8"/>
      <c r="C148" s="8"/>
      <c r="D148" s="8"/>
      <c r="E148" s="9"/>
      <c r="F148" s="10"/>
      <c r="G148" s="11"/>
      <c r="H148" s="8"/>
      <c r="I148" s="8"/>
      <c r="J148" s="8"/>
      <c r="K148" s="8"/>
      <c r="L148" s="8"/>
      <c r="M148" s="8"/>
      <c r="N148" s="12"/>
      <c r="O148" s="10">
        <f>IF($N148="","",IF($M148="Доллары",$N148*Справочники!$B$4,$N148))</f>
      </c>
      <c r="P148" s="8"/>
      <c r="Q148" s="8"/>
      <c r="R148" s="8"/>
      <c r="S148" s="10"/>
      <c r="T148" s="8"/>
      <c r="U148" s="8"/>
      <c r="V148" s="8"/>
      <c r="W148" s="11"/>
      <c r="X148" s="8"/>
      <c r="Y148" s="11"/>
      <c r="Z148" s="10"/>
      <c r="AA148" s="10"/>
      <c r="AB148" s="13">
        <f>IF(OR($Z148="",$AA148="",$Z148=0),"",($Z148-$AA148)/$Z148)</f>
      </c>
      <c r="AC148" s="8"/>
      <c r="AD148" s="11"/>
      <c r="AE148" s="8"/>
      <c r="AF148" s="8"/>
      <c r="AG148" s="8"/>
      <c r="AH148" s="11"/>
      <c r="AI148" s="10"/>
      <c r="AJ148" s="8"/>
      <c r="AK148" s="11"/>
      <c r="AL148" s="8">
        <f>IF($H148="","",IFERROR(VLOOKUP($H148,Справочники!$A$8:$B$22,2,0),""))</f>
      </c>
      <c r="AM148" s="8">
        <f>IF($AE148&lt;&gt;"",$AE148,IF(OR($H148="Выиграна",$H148="Договор заключён",$H148="Договор исполняется",$H148="Исполнен/закрыт"),"Выиграна",IF($H148="Проиграна","Проиграна",IF($H148="Отменена заказчиком","Отменена заказчиком",""))))</f>
      </c>
    </row>
    <row r="149" ht="18" customHeight="1" spans="1:39" x14ac:dyDescent="0.25">
      <c r="A149" s="7">
        <f>IF(COUNTA($B149:$K149)=0,"",COUNT($A$2:A148)+1)</f>
      </c>
      <c r="B149" s="8"/>
      <c r="C149" s="8"/>
      <c r="D149" s="8"/>
      <c r="E149" s="9"/>
      <c r="F149" s="10"/>
      <c r="G149" s="11"/>
      <c r="H149" s="8"/>
      <c r="I149" s="8"/>
      <c r="J149" s="8"/>
      <c r="K149" s="8"/>
      <c r="L149" s="8"/>
      <c r="M149" s="8"/>
      <c r="N149" s="12"/>
      <c r="O149" s="10">
        <f>IF($N149="","",IF($M149="Доллары",$N149*Справочники!$B$4,$N149))</f>
      </c>
      <c r="P149" s="8"/>
      <c r="Q149" s="8"/>
      <c r="R149" s="8"/>
      <c r="S149" s="10"/>
      <c r="T149" s="8"/>
      <c r="U149" s="8"/>
      <c r="V149" s="8"/>
      <c r="W149" s="11"/>
      <c r="X149" s="8"/>
      <c r="Y149" s="11"/>
      <c r="Z149" s="10"/>
      <c r="AA149" s="10"/>
      <c r="AB149" s="13">
        <f>IF(OR($Z149="",$AA149="",$Z149=0),"",($Z149-$AA149)/$Z149)</f>
      </c>
      <c r="AC149" s="8"/>
      <c r="AD149" s="11"/>
      <c r="AE149" s="8"/>
      <c r="AF149" s="8"/>
      <c r="AG149" s="8"/>
      <c r="AH149" s="11"/>
      <c r="AI149" s="10"/>
      <c r="AJ149" s="8"/>
      <c r="AK149" s="11"/>
      <c r="AL149" s="8">
        <f>IF($H149="","",IFERROR(VLOOKUP($H149,Справочники!$A$8:$B$22,2,0),""))</f>
      </c>
      <c r="AM149" s="8">
        <f>IF($AE149&lt;&gt;"",$AE149,IF(OR($H149="Выиграна",$H149="Договор заключён",$H149="Договор исполняется",$H149="Исполнен/закрыт"),"Выиграна",IF($H149="Проиграна","Проиграна",IF($H149="Отменена заказчиком","Отменена заказчиком",""))))</f>
      </c>
    </row>
    <row r="150" ht="18" customHeight="1" spans="1:39" x14ac:dyDescent="0.25">
      <c r="A150" s="7">
        <f>IF(COUNTA($B150:$K150)=0,"",COUNT($A$2:A149)+1)</f>
      </c>
      <c r="B150" s="8"/>
      <c r="C150" s="8"/>
      <c r="D150" s="8"/>
      <c r="E150" s="9"/>
      <c r="F150" s="10"/>
      <c r="G150" s="11"/>
      <c r="H150" s="8"/>
      <c r="I150" s="8"/>
      <c r="J150" s="8"/>
      <c r="K150" s="8"/>
      <c r="L150" s="8"/>
      <c r="M150" s="8"/>
      <c r="N150" s="12"/>
      <c r="O150" s="10">
        <f>IF($N150="","",IF($M150="Доллары",$N150*Справочники!$B$4,$N150))</f>
      </c>
      <c r="P150" s="8"/>
      <c r="Q150" s="8"/>
      <c r="R150" s="8"/>
      <c r="S150" s="10"/>
      <c r="T150" s="8"/>
      <c r="U150" s="8"/>
      <c r="V150" s="8"/>
      <c r="W150" s="11"/>
      <c r="X150" s="8"/>
      <c r="Y150" s="11"/>
      <c r="Z150" s="10"/>
      <c r="AA150" s="10"/>
      <c r="AB150" s="13">
        <f>IF(OR($Z150="",$AA150="",$Z150=0),"",($Z150-$AA150)/$Z150)</f>
      </c>
      <c r="AC150" s="8"/>
      <c r="AD150" s="11"/>
      <c r="AE150" s="8"/>
      <c r="AF150" s="8"/>
      <c r="AG150" s="8"/>
      <c r="AH150" s="11"/>
      <c r="AI150" s="10"/>
      <c r="AJ150" s="8"/>
      <c r="AK150" s="11"/>
      <c r="AL150" s="8">
        <f>IF($H150="","",IFERROR(VLOOKUP($H150,Справочники!$A$8:$B$22,2,0),""))</f>
      </c>
      <c r="AM150" s="8">
        <f>IF($AE150&lt;&gt;"",$AE150,IF(OR($H150="Выиграна",$H150="Договор заключён",$H150="Договор исполняется",$H150="Исполнен/закрыт"),"Выиграна",IF($H150="Проиграна","Проиграна",IF($H150="Отменена заказчиком","Отменена заказчиком",""))))</f>
      </c>
    </row>
    <row r="151" ht="18" customHeight="1" spans="1:39" x14ac:dyDescent="0.25">
      <c r="A151" s="7">
        <f>IF(COUNTA($B151:$K151)=0,"",COUNT($A$2:A150)+1)</f>
      </c>
      <c r="B151" s="8"/>
      <c r="C151" s="8"/>
      <c r="D151" s="8"/>
      <c r="E151" s="9"/>
      <c r="F151" s="10"/>
      <c r="G151" s="11"/>
      <c r="H151" s="8"/>
      <c r="I151" s="8"/>
      <c r="J151" s="8"/>
      <c r="K151" s="8"/>
      <c r="L151" s="8"/>
      <c r="M151" s="8"/>
      <c r="N151" s="12"/>
      <c r="O151" s="10">
        <f>IF($N151="","",IF($M151="Доллары",$N151*Справочники!$B$4,$N151))</f>
      </c>
      <c r="P151" s="8"/>
      <c r="Q151" s="8"/>
      <c r="R151" s="8"/>
      <c r="S151" s="10"/>
      <c r="T151" s="8"/>
      <c r="U151" s="8"/>
      <c r="V151" s="8"/>
      <c r="W151" s="11"/>
      <c r="X151" s="8"/>
      <c r="Y151" s="11"/>
      <c r="Z151" s="10"/>
      <c r="AA151" s="10"/>
      <c r="AB151" s="13">
        <f>IF(OR($Z151="",$AA151="",$Z151=0),"",($Z151-$AA151)/$Z151)</f>
      </c>
      <c r="AC151" s="8"/>
      <c r="AD151" s="11"/>
      <c r="AE151" s="8"/>
      <c r="AF151" s="8"/>
      <c r="AG151" s="8"/>
      <c r="AH151" s="11"/>
      <c r="AI151" s="10"/>
      <c r="AJ151" s="8"/>
      <c r="AK151" s="11"/>
      <c r="AL151" s="8">
        <f>IF($H151="","",IFERROR(VLOOKUP($H151,Справочники!$A$8:$B$22,2,0),""))</f>
      </c>
      <c r="AM151" s="8">
        <f>IF($AE151&lt;&gt;"",$AE151,IF(OR($H151="Выиграна",$H151="Договор заключён",$H151="Договор исполняется",$H151="Исполнен/закрыт"),"Выиграна",IF($H151="Проиграна","Проиграна",IF($H151="Отменена заказчиком","Отменена заказчиком",""))))</f>
      </c>
    </row>
    <row r="152" ht="18" customHeight="1" spans="1:39" x14ac:dyDescent="0.25">
      <c r="A152" s="7">
        <f>IF(COUNTA($B152:$K152)=0,"",COUNT($A$2:A151)+1)</f>
      </c>
      <c r="B152" s="8"/>
      <c r="C152" s="8"/>
      <c r="D152" s="8"/>
      <c r="E152" s="9"/>
      <c r="F152" s="10"/>
      <c r="G152" s="11"/>
      <c r="H152" s="8"/>
      <c r="I152" s="8"/>
      <c r="J152" s="8"/>
      <c r="K152" s="8"/>
      <c r="L152" s="8"/>
      <c r="M152" s="8"/>
      <c r="N152" s="12"/>
      <c r="O152" s="10">
        <f>IF($N152="","",IF($M152="Доллары",$N152*Справочники!$B$4,$N152))</f>
      </c>
      <c r="P152" s="8"/>
      <c r="Q152" s="8"/>
      <c r="R152" s="8"/>
      <c r="S152" s="10"/>
      <c r="T152" s="8"/>
      <c r="U152" s="8"/>
      <c r="V152" s="8"/>
      <c r="W152" s="11"/>
      <c r="X152" s="8"/>
      <c r="Y152" s="11"/>
      <c r="Z152" s="10"/>
      <c r="AA152" s="10"/>
      <c r="AB152" s="13">
        <f>IF(OR($Z152="",$AA152="",$Z152=0),"",($Z152-$AA152)/$Z152)</f>
      </c>
      <c r="AC152" s="8"/>
      <c r="AD152" s="11"/>
      <c r="AE152" s="8"/>
      <c r="AF152" s="8"/>
      <c r="AG152" s="8"/>
      <c r="AH152" s="11"/>
      <c r="AI152" s="10"/>
      <c r="AJ152" s="8"/>
      <c r="AK152" s="11"/>
      <c r="AL152" s="8">
        <f>IF($H152="","",IFERROR(VLOOKUP($H152,Справочники!$A$8:$B$22,2,0),""))</f>
      </c>
      <c r="AM152" s="8">
        <f>IF($AE152&lt;&gt;"",$AE152,IF(OR($H152="Выиграна",$H152="Договор заключён",$H152="Договор исполняется",$H152="Исполнен/закрыт"),"Выиграна",IF($H152="Проиграна","Проиграна",IF($H152="Отменена заказчиком","Отменена заказчиком",""))))</f>
      </c>
    </row>
    <row r="153" ht="18" customHeight="1" spans="1:39" x14ac:dyDescent="0.25">
      <c r="A153" s="7">
        <f>IF(COUNTA($B153:$K153)=0,"",COUNT($A$2:A152)+1)</f>
      </c>
      <c r="B153" s="8"/>
      <c r="C153" s="8"/>
      <c r="D153" s="8"/>
      <c r="E153" s="9"/>
      <c r="F153" s="10"/>
      <c r="G153" s="11"/>
      <c r="H153" s="8"/>
      <c r="I153" s="8"/>
      <c r="J153" s="8"/>
      <c r="K153" s="8"/>
      <c r="L153" s="8"/>
      <c r="M153" s="8"/>
      <c r="N153" s="12"/>
      <c r="O153" s="10">
        <f>IF($N153="","",IF($M153="Доллары",$N153*Справочники!$B$4,$N153))</f>
      </c>
      <c r="P153" s="8"/>
      <c r="Q153" s="8"/>
      <c r="R153" s="8"/>
      <c r="S153" s="10"/>
      <c r="T153" s="8"/>
      <c r="U153" s="8"/>
      <c r="V153" s="8"/>
      <c r="W153" s="11"/>
      <c r="X153" s="8"/>
      <c r="Y153" s="11"/>
      <c r="Z153" s="10"/>
      <c r="AA153" s="10"/>
      <c r="AB153" s="13">
        <f>IF(OR($Z153="",$AA153="",$Z153=0),"",($Z153-$AA153)/$Z153)</f>
      </c>
      <c r="AC153" s="8"/>
      <c r="AD153" s="11"/>
      <c r="AE153" s="8"/>
      <c r="AF153" s="8"/>
      <c r="AG153" s="8"/>
      <c r="AH153" s="11"/>
      <c r="AI153" s="10"/>
      <c r="AJ153" s="8"/>
      <c r="AK153" s="11"/>
      <c r="AL153" s="8">
        <f>IF($H153="","",IFERROR(VLOOKUP($H153,Справочники!$A$8:$B$22,2,0),""))</f>
      </c>
      <c r="AM153" s="8">
        <f>IF($AE153&lt;&gt;"",$AE153,IF(OR($H153="Выиграна",$H153="Договор заключён",$H153="Договор исполняется",$H153="Исполнен/закрыт"),"Выиграна",IF($H153="Проиграна","Проиграна",IF($H153="Отменена заказчиком","Отменена заказчиком",""))))</f>
      </c>
    </row>
    <row r="154" ht="18" customHeight="1" spans="1:39" x14ac:dyDescent="0.25">
      <c r="A154" s="7">
        <f>IF(COUNTA($B154:$K154)=0,"",COUNT($A$2:A153)+1)</f>
      </c>
      <c r="B154" s="8"/>
      <c r="C154" s="8"/>
      <c r="D154" s="8"/>
      <c r="E154" s="9"/>
      <c r="F154" s="10"/>
      <c r="G154" s="11"/>
      <c r="H154" s="8"/>
      <c r="I154" s="8"/>
      <c r="J154" s="8"/>
      <c r="K154" s="8"/>
      <c r="L154" s="8"/>
      <c r="M154" s="8"/>
      <c r="N154" s="12"/>
      <c r="O154" s="10">
        <f>IF($N154="","",IF($M154="Доллары",$N154*Справочники!$B$4,$N154))</f>
      </c>
      <c r="P154" s="8"/>
      <c r="Q154" s="8"/>
      <c r="R154" s="8"/>
      <c r="S154" s="10"/>
      <c r="T154" s="8"/>
      <c r="U154" s="8"/>
      <c r="V154" s="8"/>
      <c r="W154" s="11"/>
      <c r="X154" s="8"/>
      <c r="Y154" s="11"/>
      <c r="Z154" s="10"/>
      <c r="AA154" s="10"/>
      <c r="AB154" s="13">
        <f>IF(OR($Z154="",$AA154="",$Z154=0),"",($Z154-$AA154)/$Z154)</f>
      </c>
      <c r="AC154" s="8"/>
      <c r="AD154" s="11"/>
      <c r="AE154" s="8"/>
      <c r="AF154" s="8"/>
      <c r="AG154" s="8"/>
      <c r="AH154" s="11"/>
      <c r="AI154" s="10"/>
      <c r="AJ154" s="8"/>
      <c r="AK154" s="11"/>
      <c r="AL154" s="8">
        <f>IF($H154="","",IFERROR(VLOOKUP($H154,Справочники!$A$8:$B$22,2,0),""))</f>
      </c>
      <c r="AM154" s="8">
        <f>IF($AE154&lt;&gt;"",$AE154,IF(OR($H154="Выиграна",$H154="Договор заключён",$H154="Договор исполняется",$H154="Исполнен/закрыт"),"Выиграна",IF($H154="Проиграна","Проиграна",IF($H154="Отменена заказчиком","Отменена заказчиком",""))))</f>
      </c>
    </row>
    <row r="155" ht="18" customHeight="1" spans="1:39" x14ac:dyDescent="0.25">
      <c r="A155" s="7">
        <f>IF(COUNTA($B155:$K155)=0,"",COUNT($A$2:A154)+1)</f>
      </c>
      <c r="B155" s="8"/>
      <c r="C155" s="8"/>
      <c r="D155" s="8"/>
      <c r="E155" s="9"/>
      <c r="F155" s="10"/>
      <c r="G155" s="11"/>
      <c r="H155" s="8"/>
      <c r="I155" s="8"/>
      <c r="J155" s="8"/>
      <c r="K155" s="8"/>
      <c r="L155" s="8"/>
      <c r="M155" s="8"/>
      <c r="N155" s="12"/>
      <c r="O155" s="10">
        <f>IF($N155="","",IF($M155="Доллары",$N155*Справочники!$B$4,$N155))</f>
      </c>
      <c r="P155" s="8"/>
      <c r="Q155" s="8"/>
      <c r="R155" s="8"/>
      <c r="S155" s="10"/>
      <c r="T155" s="8"/>
      <c r="U155" s="8"/>
      <c r="V155" s="8"/>
      <c r="W155" s="11"/>
      <c r="X155" s="8"/>
      <c r="Y155" s="11"/>
      <c r="Z155" s="10"/>
      <c r="AA155" s="10"/>
      <c r="AB155" s="13">
        <f>IF(OR($Z155="",$AA155="",$Z155=0),"",($Z155-$AA155)/$Z155)</f>
      </c>
      <c r="AC155" s="8"/>
      <c r="AD155" s="11"/>
      <c r="AE155" s="8"/>
      <c r="AF155" s="8"/>
      <c r="AG155" s="8"/>
      <c r="AH155" s="11"/>
      <c r="AI155" s="10"/>
      <c r="AJ155" s="8"/>
      <c r="AK155" s="11"/>
      <c r="AL155" s="8">
        <f>IF($H155="","",IFERROR(VLOOKUP($H155,Справочники!$A$8:$B$22,2,0),""))</f>
      </c>
      <c r="AM155" s="8">
        <f>IF($AE155&lt;&gt;"",$AE155,IF(OR($H155="Выиграна",$H155="Договор заключён",$H155="Договор исполняется",$H155="Исполнен/закрыт"),"Выиграна",IF($H155="Проиграна","Проиграна",IF($H155="Отменена заказчиком","Отменена заказчиком",""))))</f>
      </c>
    </row>
    <row r="156" ht="18" customHeight="1" spans="1:39" x14ac:dyDescent="0.25">
      <c r="A156" s="7">
        <f>IF(COUNTA($B156:$K156)=0,"",COUNT($A$2:A155)+1)</f>
      </c>
      <c r="B156" s="8"/>
      <c r="C156" s="8"/>
      <c r="D156" s="8"/>
      <c r="E156" s="9"/>
      <c r="F156" s="10"/>
      <c r="G156" s="11"/>
      <c r="H156" s="8"/>
      <c r="I156" s="8"/>
      <c r="J156" s="8"/>
      <c r="K156" s="8"/>
      <c r="L156" s="8"/>
      <c r="M156" s="8"/>
      <c r="N156" s="12"/>
      <c r="O156" s="10">
        <f>IF($N156="","",IF($M156="Доллары",$N156*Справочники!$B$4,$N156))</f>
      </c>
      <c r="P156" s="8"/>
      <c r="Q156" s="8"/>
      <c r="R156" s="8"/>
      <c r="S156" s="10"/>
      <c r="T156" s="8"/>
      <c r="U156" s="8"/>
      <c r="V156" s="8"/>
      <c r="W156" s="11"/>
      <c r="X156" s="8"/>
      <c r="Y156" s="11"/>
      <c r="Z156" s="10"/>
      <c r="AA156" s="10"/>
      <c r="AB156" s="13">
        <f>IF(OR($Z156="",$AA156="",$Z156=0),"",($Z156-$AA156)/$Z156)</f>
      </c>
      <c r="AC156" s="8"/>
      <c r="AD156" s="11"/>
      <c r="AE156" s="8"/>
      <c r="AF156" s="8"/>
      <c r="AG156" s="8"/>
      <c r="AH156" s="11"/>
      <c r="AI156" s="10"/>
      <c r="AJ156" s="8"/>
      <c r="AK156" s="11"/>
      <c r="AL156" s="8">
        <f>IF($H156="","",IFERROR(VLOOKUP($H156,Справочники!$A$8:$B$22,2,0),""))</f>
      </c>
      <c r="AM156" s="8">
        <f>IF($AE156&lt;&gt;"",$AE156,IF(OR($H156="Выиграна",$H156="Договор заключён",$H156="Договор исполняется",$H156="Исполнен/закрыт"),"Выиграна",IF($H156="Проиграна","Проиграна",IF($H156="Отменена заказчиком","Отменена заказчиком",""))))</f>
      </c>
    </row>
    <row r="157" ht="18" customHeight="1" spans="1:39" x14ac:dyDescent="0.25">
      <c r="A157" s="7">
        <f>IF(COUNTA($B157:$K157)=0,"",COUNT($A$2:A156)+1)</f>
      </c>
      <c r="B157" s="8"/>
      <c r="C157" s="8"/>
      <c r="D157" s="8"/>
      <c r="E157" s="9"/>
      <c r="F157" s="10"/>
      <c r="G157" s="11"/>
      <c r="H157" s="8"/>
      <c r="I157" s="8"/>
      <c r="J157" s="8"/>
      <c r="K157" s="8"/>
      <c r="L157" s="8"/>
      <c r="M157" s="8"/>
      <c r="N157" s="12"/>
      <c r="O157" s="10">
        <f>IF($N157="","",IF($M157="Доллары",$N157*Справочники!$B$4,$N157))</f>
      </c>
      <c r="P157" s="8"/>
      <c r="Q157" s="8"/>
      <c r="R157" s="8"/>
      <c r="S157" s="10"/>
      <c r="T157" s="8"/>
      <c r="U157" s="8"/>
      <c r="V157" s="8"/>
      <c r="W157" s="11"/>
      <c r="X157" s="8"/>
      <c r="Y157" s="11"/>
      <c r="Z157" s="10"/>
      <c r="AA157" s="10"/>
      <c r="AB157" s="13">
        <f>IF(OR($Z157="",$AA157="",$Z157=0),"",($Z157-$AA157)/$Z157)</f>
      </c>
      <c r="AC157" s="8"/>
      <c r="AD157" s="11"/>
      <c r="AE157" s="8"/>
      <c r="AF157" s="8"/>
      <c r="AG157" s="8"/>
      <c r="AH157" s="11"/>
      <c r="AI157" s="10"/>
      <c r="AJ157" s="8"/>
      <c r="AK157" s="11"/>
      <c r="AL157" s="8">
        <f>IF($H157="","",IFERROR(VLOOKUP($H157,Справочники!$A$8:$B$22,2,0),""))</f>
      </c>
      <c r="AM157" s="8">
        <f>IF($AE157&lt;&gt;"",$AE157,IF(OR($H157="Выиграна",$H157="Договор заключён",$H157="Договор исполняется",$H157="Исполнен/закрыт"),"Выиграна",IF($H157="Проиграна","Проиграна",IF($H157="Отменена заказчиком","Отменена заказчиком",""))))</f>
      </c>
    </row>
    <row r="158" ht="18" customHeight="1" spans="1:39" x14ac:dyDescent="0.25">
      <c r="A158" s="7">
        <f>IF(COUNTA($B158:$K158)=0,"",COUNT($A$2:A157)+1)</f>
      </c>
      <c r="B158" s="8"/>
      <c r="C158" s="8"/>
      <c r="D158" s="8"/>
      <c r="E158" s="9"/>
      <c r="F158" s="10"/>
      <c r="G158" s="11"/>
      <c r="H158" s="8"/>
      <c r="I158" s="8"/>
      <c r="J158" s="8"/>
      <c r="K158" s="8"/>
      <c r="L158" s="8"/>
      <c r="M158" s="8"/>
      <c r="N158" s="12"/>
      <c r="O158" s="10">
        <f>IF($N158="","",IF($M158="Доллары",$N158*Справочники!$B$4,$N158))</f>
      </c>
      <c r="P158" s="8"/>
      <c r="Q158" s="8"/>
      <c r="R158" s="8"/>
      <c r="S158" s="10"/>
      <c r="T158" s="8"/>
      <c r="U158" s="8"/>
      <c r="V158" s="8"/>
      <c r="W158" s="11"/>
      <c r="X158" s="8"/>
      <c r="Y158" s="11"/>
      <c r="Z158" s="10"/>
      <c r="AA158" s="10"/>
      <c r="AB158" s="13">
        <f>IF(OR($Z158="",$AA158="",$Z158=0),"",($Z158-$AA158)/$Z158)</f>
      </c>
      <c r="AC158" s="8"/>
      <c r="AD158" s="11"/>
      <c r="AE158" s="8"/>
      <c r="AF158" s="8"/>
      <c r="AG158" s="8"/>
      <c r="AH158" s="11"/>
      <c r="AI158" s="10"/>
      <c r="AJ158" s="8"/>
      <c r="AK158" s="11"/>
      <c r="AL158" s="8">
        <f>IF($H158="","",IFERROR(VLOOKUP($H158,Справочники!$A$8:$B$22,2,0),""))</f>
      </c>
      <c r="AM158" s="8">
        <f>IF($AE158&lt;&gt;"",$AE158,IF(OR($H158="Выиграна",$H158="Договор заключён",$H158="Договор исполняется",$H158="Исполнен/закрыт"),"Выиграна",IF($H158="Проиграна","Проиграна",IF($H158="Отменена заказчиком","Отменена заказчиком",""))))</f>
      </c>
    </row>
    <row r="159" ht="18" customHeight="1" spans="1:39" x14ac:dyDescent="0.25">
      <c r="A159" s="7">
        <f>IF(COUNTA($B159:$K159)=0,"",COUNT($A$2:A158)+1)</f>
      </c>
      <c r="B159" s="8"/>
      <c r="C159" s="8"/>
      <c r="D159" s="8"/>
      <c r="E159" s="9"/>
      <c r="F159" s="10"/>
      <c r="G159" s="11"/>
      <c r="H159" s="8"/>
      <c r="I159" s="8"/>
      <c r="J159" s="8"/>
      <c r="K159" s="8"/>
      <c r="L159" s="8"/>
      <c r="M159" s="8"/>
      <c r="N159" s="12"/>
      <c r="O159" s="10">
        <f>IF($N159="","",IF($M159="Доллары",$N159*Справочники!$B$4,$N159))</f>
      </c>
      <c r="P159" s="8"/>
      <c r="Q159" s="8"/>
      <c r="R159" s="8"/>
      <c r="S159" s="10"/>
      <c r="T159" s="8"/>
      <c r="U159" s="8"/>
      <c r="V159" s="8"/>
      <c r="W159" s="11"/>
      <c r="X159" s="8"/>
      <c r="Y159" s="11"/>
      <c r="Z159" s="10"/>
      <c r="AA159" s="10"/>
      <c r="AB159" s="13">
        <f>IF(OR($Z159="",$AA159="",$Z159=0),"",($Z159-$AA159)/$Z159)</f>
      </c>
      <c r="AC159" s="8"/>
      <c r="AD159" s="11"/>
      <c r="AE159" s="8"/>
      <c r="AF159" s="8"/>
      <c r="AG159" s="8"/>
      <c r="AH159" s="11"/>
      <c r="AI159" s="10"/>
      <c r="AJ159" s="8"/>
      <c r="AK159" s="11"/>
      <c r="AL159" s="8">
        <f>IF($H159="","",IFERROR(VLOOKUP($H159,Справочники!$A$8:$B$22,2,0),""))</f>
      </c>
      <c r="AM159" s="8">
        <f>IF($AE159&lt;&gt;"",$AE159,IF(OR($H159="Выиграна",$H159="Договор заключён",$H159="Договор исполняется",$H159="Исполнен/закрыт"),"Выиграна",IF($H159="Проиграна","Проиграна",IF($H159="Отменена заказчиком","Отменена заказчиком",""))))</f>
      </c>
    </row>
    <row r="160" ht="18" customHeight="1" spans="1:39" x14ac:dyDescent="0.25">
      <c r="A160" s="7">
        <f>IF(COUNTA($B160:$K160)=0,"",COUNT($A$2:A159)+1)</f>
      </c>
      <c r="B160" s="8"/>
      <c r="C160" s="8"/>
      <c r="D160" s="8"/>
      <c r="E160" s="9"/>
      <c r="F160" s="10"/>
      <c r="G160" s="11"/>
      <c r="H160" s="8"/>
      <c r="I160" s="8"/>
      <c r="J160" s="8"/>
      <c r="K160" s="8"/>
      <c r="L160" s="8"/>
      <c r="M160" s="8"/>
      <c r="N160" s="12"/>
      <c r="O160" s="10">
        <f>IF($N160="","",IF($M160="Доллары",$N160*Справочники!$B$4,$N160))</f>
      </c>
      <c r="P160" s="8"/>
      <c r="Q160" s="8"/>
      <c r="R160" s="8"/>
      <c r="S160" s="10"/>
      <c r="T160" s="8"/>
      <c r="U160" s="8"/>
      <c r="V160" s="8"/>
      <c r="W160" s="11"/>
      <c r="X160" s="8"/>
      <c r="Y160" s="11"/>
      <c r="Z160" s="10"/>
      <c r="AA160" s="10"/>
      <c r="AB160" s="13">
        <f>IF(OR($Z160="",$AA160="",$Z160=0),"",($Z160-$AA160)/$Z160)</f>
      </c>
      <c r="AC160" s="8"/>
      <c r="AD160" s="11"/>
      <c r="AE160" s="8"/>
      <c r="AF160" s="8"/>
      <c r="AG160" s="8"/>
      <c r="AH160" s="11"/>
      <c r="AI160" s="10"/>
      <c r="AJ160" s="8"/>
      <c r="AK160" s="11"/>
      <c r="AL160" s="8">
        <f>IF($H160="","",IFERROR(VLOOKUP($H160,Справочники!$A$8:$B$22,2,0),""))</f>
      </c>
      <c r="AM160" s="8">
        <f>IF($AE160&lt;&gt;"",$AE160,IF(OR($H160="Выиграна",$H160="Договор заключён",$H160="Договор исполняется",$H160="Исполнен/закрыт"),"Выиграна",IF($H160="Проиграна","Проиграна",IF($H160="Отменена заказчиком","Отменена заказчиком",""))))</f>
      </c>
    </row>
    <row r="161" ht="18" customHeight="1" spans="1:39" x14ac:dyDescent="0.25">
      <c r="A161" s="7">
        <f>IF(COUNTA($B161:$K161)=0,"",COUNT($A$2:A160)+1)</f>
      </c>
      <c r="B161" s="8"/>
      <c r="C161" s="8"/>
      <c r="D161" s="8"/>
      <c r="E161" s="9"/>
      <c r="F161" s="10"/>
      <c r="G161" s="11"/>
      <c r="H161" s="8"/>
      <c r="I161" s="8"/>
      <c r="J161" s="8"/>
      <c r="K161" s="8"/>
      <c r="L161" s="8"/>
      <c r="M161" s="8"/>
      <c r="N161" s="12"/>
      <c r="O161" s="10">
        <f>IF($N161="","",IF($M161="Доллары",$N161*Справочники!$B$4,$N161))</f>
      </c>
      <c r="P161" s="8"/>
      <c r="Q161" s="8"/>
      <c r="R161" s="8"/>
      <c r="S161" s="10"/>
      <c r="T161" s="8"/>
      <c r="U161" s="8"/>
      <c r="V161" s="8"/>
      <c r="W161" s="11"/>
      <c r="X161" s="8"/>
      <c r="Y161" s="11"/>
      <c r="Z161" s="10"/>
      <c r="AA161" s="10"/>
      <c r="AB161" s="13">
        <f>IF(OR($Z161="",$AA161="",$Z161=0),"",($Z161-$AA161)/$Z161)</f>
      </c>
      <c r="AC161" s="8"/>
      <c r="AD161" s="11"/>
      <c r="AE161" s="8"/>
      <c r="AF161" s="8"/>
      <c r="AG161" s="8"/>
      <c r="AH161" s="11"/>
      <c r="AI161" s="10"/>
      <c r="AJ161" s="8"/>
      <c r="AK161" s="11"/>
      <c r="AL161" s="8">
        <f>IF($H161="","",IFERROR(VLOOKUP($H161,Справочники!$A$8:$B$22,2,0),""))</f>
      </c>
      <c r="AM161" s="8">
        <f>IF($AE161&lt;&gt;"",$AE161,IF(OR($H161="Выиграна",$H161="Договор заключён",$H161="Договор исполняется",$H161="Исполнен/закрыт"),"Выиграна",IF($H161="Проиграна","Проиграна",IF($H161="Отменена заказчиком","Отменена заказчиком",""))))</f>
      </c>
    </row>
    <row r="162" ht="18" customHeight="1" spans="1:39" x14ac:dyDescent="0.25">
      <c r="A162" s="7">
        <f>IF(COUNTA($B162:$K162)=0,"",COUNT($A$2:A161)+1)</f>
      </c>
      <c r="B162" s="8"/>
      <c r="C162" s="8"/>
      <c r="D162" s="8"/>
      <c r="E162" s="9"/>
      <c r="F162" s="10"/>
      <c r="G162" s="11"/>
      <c r="H162" s="8"/>
      <c r="I162" s="8"/>
      <c r="J162" s="8"/>
      <c r="K162" s="8"/>
      <c r="L162" s="8"/>
      <c r="M162" s="8"/>
      <c r="N162" s="12"/>
      <c r="O162" s="10">
        <f>IF($N162="","",IF($M162="Доллары",$N162*Справочники!$B$4,$N162))</f>
      </c>
      <c r="P162" s="8"/>
      <c r="Q162" s="8"/>
      <c r="R162" s="8"/>
      <c r="S162" s="10"/>
      <c r="T162" s="8"/>
      <c r="U162" s="8"/>
      <c r="V162" s="8"/>
      <c r="W162" s="11"/>
      <c r="X162" s="8"/>
      <c r="Y162" s="11"/>
      <c r="Z162" s="10"/>
      <c r="AA162" s="10"/>
      <c r="AB162" s="13">
        <f>IF(OR($Z162="",$AA162="",$Z162=0),"",($Z162-$AA162)/$Z162)</f>
      </c>
      <c r="AC162" s="8"/>
      <c r="AD162" s="11"/>
      <c r="AE162" s="8"/>
      <c r="AF162" s="8"/>
      <c r="AG162" s="8"/>
      <c r="AH162" s="11"/>
      <c r="AI162" s="10"/>
      <c r="AJ162" s="8"/>
      <c r="AK162" s="11"/>
      <c r="AL162" s="8">
        <f>IF($H162="","",IFERROR(VLOOKUP($H162,Справочники!$A$8:$B$22,2,0),""))</f>
      </c>
      <c r="AM162" s="8">
        <f>IF($AE162&lt;&gt;"",$AE162,IF(OR($H162="Выиграна",$H162="Договор заключён",$H162="Договор исполняется",$H162="Исполнен/закрыт"),"Выиграна",IF($H162="Проиграна","Проиграна",IF($H162="Отменена заказчиком","Отменена заказчиком",""))))</f>
      </c>
    </row>
    <row r="163" ht="18" customHeight="1" spans="1:39" x14ac:dyDescent="0.25">
      <c r="A163" s="7">
        <f>IF(COUNTA($B163:$K163)=0,"",COUNT($A$2:A162)+1)</f>
      </c>
      <c r="B163" s="8"/>
      <c r="C163" s="8"/>
      <c r="D163" s="8"/>
      <c r="E163" s="9"/>
      <c r="F163" s="10"/>
      <c r="G163" s="11"/>
      <c r="H163" s="8"/>
      <c r="I163" s="8"/>
      <c r="J163" s="8"/>
      <c r="K163" s="8"/>
      <c r="L163" s="8"/>
      <c r="M163" s="8"/>
      <c r="N163" s="12"/>
      <c r="O163" s="10">
        <f>IF($N163="","",IF($M163="Доллары",$N163*Справочники!$B$4,$N163))</f>
      </c>
      <c r="P163" s="8"/>
      <c r="Q163" s="8"/>
      <c r="R163" s="8"/>
      <c r="S163" s="10"/>
      <c r="T163" s="8"/>
      <c r="U163" s="8"/>
      <c r="V163" s="8"/>
      <c r="W163" s="11"/>
      <c r="X163" s="8"/>
      <c r="Y163" s="11"/>
      <c r="Z163" s="10"/>
      <c r="AA163" s="10"/>
      <c r="AB163" s="13">
        <f>IF(OR($Z163="",$AA163="",$Z163=0),"",($Z163-$AA163)/$Z163)</f>
      </c>
      <c r="AC163" s="8"/>
      <c r="AD163" s="11"/>
      <c r="AE163" s="8"/>
      <c r="AF163" s="8"/>
      <c r="AG163" s="8"/>
      <c r="AH163" s="11"/>
      <c r="AI163" s="10"/>
      <c r="AJ163" s="8"/>
      <c r="AK163" s="11"/>
      <c r="AL163" s="8">
        <f>IF($H163="","",IFERROR(VLOOKUP($H163,Справочники!$A$8:$B$22,2,0),""))</f>
      </c>
      <c r="AM163" s="8">
        <f>IF($AE163&lt;&gt;"",$AE163,IF(OR($H163="Выиграна",$H163="Договор заключён",$H163="Договор исполняется",$H163="Исполнен/закрыт"),"Выиграна",IF($H163="Проиграна","Проиграна",IF($H163="Отменена заказчиком","Отменена заказчиком",""))))</f>
      </c>
    </row>
    <row r="164" ht="18" customHeight="1" spans="1:39" x14ac:dyDescent="0.25">
      <c r="A164" s="7">
        <f>IF(COUNTA($B164:$K164)=0,"",COUNT($A$2:A163)+1)</f>
      </c>
      <c r="B164" s="8"/>
      <c r="C164" s="8"/>
      <c r="D164" s="8"/>
      <c r="E164" s="9"/>
      <c r="F164" s="10"/>
      <c r="G164" s="11"/>
      <c r="H164" s="8"/>
      <c r="I164" s="8"/>
      <c r="J164" s="8"/>
      <c r="K164" s="8"/>
      <c r="L164" s="8"/>
      <c r="M164" s="8"/>
      <c r="N164" s="12"/>
      <c r="O164" s="10">
        <f>IF($N164="","",IF($M164="Доллары",$N164*Справочники!$B$4,$N164))</f>
      </c>
      <c r="P164" s="8"/>
      <c r="Q164" s="8"/>
      <c r="R164" s="8"/>
      <c r="S164" s="10"/>
      <c r="T164" s="8"/>
      <c r="U164" s="8"/>
      <c r="V164" s="8"/>
      <c r="W164" s="11"/>
      <c r="X164" s="8"/>
      <c r="Y164" s="11"/>
      <c r="Z164" s="10"/>
      <c r="AA164" s="10"/>
      <c r="AB164" s="13">
        <f>IF(OR($Z164="",$AA164="",$Z164=0),"",($Z164-$AA164)/$Z164)</f>
      </c>
      <c r="AC164" s="8"/>
      <c r="AD164" s="11"/>
      <c r="AE164" s="8"/>
      <c r="AF164" s="8"/>
      <c r="AG164" s="8"/>
      <c r="AH164" s="11"/>
      <c r="AI164" s="10"/>
      <c r="AJ164" s="8"/>
      <c r="AK164" s="11"/>
      <c r="AL164" s="8">
        <f>IF($H164="","",IFERROR(VLOOKUP($H164,Справочники!$A$8:$B$22,2,0),""))</f>
      </c>
      <c r="AM164" s="8">
        <f>IF($AE164&lt;&gt;"",$AE164,IF(OR($H164="Выиграна",$H164="Договор заключён",$H164="Договор исполняется",$H164="Исполнен/закрыт"),"Выиграна",IF($H164="Проиграна","Проиграна",IF($H164="Отменена заказчиком","Отменена заказчиком",""))))</f>
      </c>
    </row>
    <row r="165" ht="18" customHeight="1" spans="1:39" x14ac:dyDescent="0.25">
      <c r="A165" s="7">
        <f>IF(COUNTA($B165:$K165)=0,"",COUNT($A$2:A164)+1)</f>
      </c>
      <c r="B165" s="8"/>
      <c r="C165" s="8"/>
      <c r="D165" s="8"/>
      <c r="E165" s="9"/>
      <c r="F165" s="10"/>
      <c r="G165" s="11"/>
      <c r="H165" s="8"/>
      <c r="I165" s="8"/>
      <c r="J165" s="8"/>
      <c r="K165" s="8"/>
      <c r="L165" s="8"/>
      <c r="M165" s="8"/>
      <c r="N165" s="12"/>
      <c r="O165" s="10">
        <f>IF($N165="","",IF($M165="Доллары",$N165*Справочники!$B$4,$N165))</f>
      </c>
      <c r="P165" s="8"/>
      <c r="Q165" s="8"/>
      <c r="R165" s="8"/>
      <c r="S165" s="10"/>
      <c r="T165" s="8"/>
      <c r="U165" s="8"/>
      <c r="V165" s="8"/>
      <c r="W165" s="11"/>
      <c r="X165" s="8"/>
      <c r="Y165" s="11"/>
      <c r="Z165" s="10"/>
      <c r="AA165" s="10"/>
      <c r="AB165" s="13">
        <f>IF(OR($Z165="",$AA165="",$Z165=0),"",($Z165-$AA165)/$Z165)</f>
      </c>
      <c r="AC165" s="8"/>
      <c r="AD165" s="11"/>
      <c r="AE165" s="8"/>
      <c r="AF165" s="8"/>
      <c r="AG165" s="8"/>
      <c r="AH165" s="11"/>
      <c r="AI165" s="10"/>
      <c r="AJ165" s="8"/>
      <c r="AK165" s="11"/>
      <c r="AL165" s="8">
        <f>IF($H165="","",IFERROR(VLOOKUP($H165,Справочники!$A$8:$B$22,2,0),""))</f>
      </c>
      <c r="AM165" s="8">
        <f>IF($AE165&lt;&gt;"",$AE165,IF(OR($H165="Выиграна",$H165="Договор заключён",$H165="Договор исполняется",$H165="Исполнен/закрыт"),"Выиграна",IF($H165="Проиграна","Проиграна",IF($H165="Отменена заказчиком","Отменена заказчиком",""))))</f>
      </c>
    </row>
    <row r="166" ht="18" customHeight="1" spans="1:39" x14ac:dyDescent="0.25">
      <c r="A166" s="7">
        <f>IF(COUNTA($B166:$K166)=0,"",COUNT($A$2:A165)+1)</f>
      </c>
      <c r="B166" s="8"/>
      <c r="C166" s="8"/>
      <c r="D166" s="8"/>
      <c r="E166" s="9"/>
      <c r="F166" s="10"/>
      <c r="G166" s="11"/>
      <c r="H166" s="8"/>
      <c r="I166" s="8"/>
      <c r="J166" s="8"/>
      <c r="K166" s="8"/>
      <c r="L166" s="8"/>
      <c r="M166" s="8"/>
      <c r="N166" s="12"/>
      <c r="O166" s="10">
        <f>IF($N166="","",IF($M166="Доллары",$N166*Справочники!$B$4,$N166))</f>
      </c>
      <c r="P166" s="8"/>
      <c r="Q166" s="8"/>
      <c r="R166" s="8"/>
      <c r="S166" s="10"/>
      <c r="T166" s="8"/>
      <c r="U166" s="8"/>
      <c r="V166" s="8"/>
      <c r="W166" s="11"/>
      <c r="X166" s="8"/>
      <c r="Y166" s="11"/>
      <c r="Z166" s="10"/>
      <c r="AA166" s="10"/>
      <c r="AB166" s="13">
        <f>IF(OR($Z166="",$AA166="",$Z166=0),"",($Z166-$AA166)/$Z166)</f>
      </c>
      <c r="AC166" s="8"/>
      <c r="AD166" s="11"/>
      <c r="AE166" s="8"/>
      <c r="AF166" s="8"/>
      <c r="AG166" s="8"/>
      <c r="AH166" s="11"/>
      <c r="AI166" s="10"/>
      <c r="AJ166" s="8"/>
      <c r="AK166" s="11"/>
      <c r="AL166" s="8">
        <f>IF($H166="","",IFERROR(VLOOKUP($H166,Справочники!$A$8:$B$22,2,0),""))</f>
      </c>
      <c r="AM166" s="8">
        <f>IF($AE166&lt;&gt;"",$AE166,IF(OR($H166="Выиграна",$H166="Договор заключён",$H166="Договор исполняется",$H166="Исполнен/закрыт"),"Выиграна",IF($H166="Проиграна","Проиграна",IF($H166="Отменена заказчиком","Отменена заказчиком",""))))</f>
      </c>
    </row>
    <row r="167" ht="18" customHeight="1" spans="1:39" x14ac:dyDescent="0.25">
      <c r="A167" s="7">
        <f>IF(COUNTA($B167:$K167)=0,"",COUNT($A$2:A166)+1)</f>
      </c>
      <c r="B167" s="8"/>
      <c r="C167" s="8"/>
      <c r="D167" s="8"/>
      <c r="E167" s="9"/>
      <c r="F167" s="10"/>
      <c r="G167" s="11"/>
      <c r="H167" s="8"/>
      <c r="I167" s="8"/>
      <c r="J167" s="8"/>
      <c r="K167" s="8"/>
      <c r="L167" s="8"/>
      <c r="M167" s="8"/>
      <c r="N167" s="12"/>
      <c r="O167" s="10">
        <f>IF($N167="","",IF($M167="Доллары",$N167*Справочники!$B$4,$N167))</f>
      </c>
      <c r="P167" s="8"/>
      <c r="Q167" s="8"/>
      <c r="R167" s="8"/>
      <c r="S167" s="10"/>
      <c r="T167" s="8"/>
      <c r="U167" s="8"/>
      <c r="V167" s="8"/>
      <c r="W167" s="11"/>
      <c r="X167" s="8"/>
      <c r="Y167" s="11"/>
      <c r="Z167" s="10"/>
      <c r="AA167" s="10"/>
      <c r="AB167" s="13">
        <f>IF(OR($Z167="",$AA167="",$Z167=0),"",($Z167-$AA167)/$Z167)</f>
      </c>
      <c r="AC167" s="8"/>
      <c r="AD167" s="11"/>
      <c r="AE167" s="8"/>
      <c r="AF167" s="8"/>
      <c r="AG167" s="8"/>
      <c r="AH167" s="11"/>
      <c r="AI167" s="10"/>
      <c r="AJ167" s="8"/>
      <c r="AK167" s="11"/>
      <c r="AL167" s="8">
        <f>IF($H167="","",IFERROR(VLOOKUP($H167,Справочники!$A$8:$B$22,2,0),""))</f>
      </c>
      <c r="AM167" s="8">
        <f>IF($AE167&lt;&gt;"",$AE167,IF(OR($H167="Выиграна",$H167="Договор заключён",$H167="Договор исполняется",$H167="Исполнен/закрыт"),"Выиграна",IF($H167="Проиграна","Проиграна",IF($H167="Отменена заказчиком","Отменена заказчиком",""))))</f>
      </c>
    </row>
    <row r="168" ht="18" customHeight="1" spans="1:39" x14ac:dyDescent="0.25">
      <c r="A168" s="7">
        <f>IF(COUNTA($B168:$K168)=0,"",COUNT($A$2:A167)+1)</f>
      </c>
      <c r="B168" s="8"/>
      <c r="C168" s="8"/>
      <c r="D168" s="8"/>
      <c r="E168" s="9"/>
      <c r="F168" s="10"/>
      <c r="G168" s="11"/>
      <c r="H168" s="8"/>
      <c r="I168" s="8"/>
      <c r="J168" s="8"/>
      <c r="K168" s="8"/>
      <c r="L168" s="8"/>
      <c r="M168" s="8"/>
      <c r="N168" s="12"/>
      <c r="O168" s="10">
        <f>IF($N168="","",IF($M168="Доллары",$N168*Справочники!$B$4,$N168))</f>
      </c>
      <c r="P168" s="8"/>
      <c r="Q168" s="8"/>
      <c r="R168" s="8"/>
      <c r="S168" s="10"/>
      <c r="T168" s="8"/>
      <c r="U168" s="8"/>
      <c r="V168" s="8"/>
      <c r="W168" s="11"/>
      <c r="X168" s="8"/>
      <c r="Y168" s="11"/>
      <c r="Z168" s="10"/>
      <c r="AA168" s="10"/>
      <c r="AB168" s="13">
        <f>IF(OR($Z168="",$AA168="",$Z168=0),"",($Z168-$AA168)/$Z168)</f>
      </c>
      <c r="AC168" s="8"/>
      <c r="AD168" s="11"/>
      <c r="AE168" s="8"/>
      <c r="AF168" s="8"/>
      <c r="AG168" s="8"/>
      <c r="AH168" s="11"/>
      <c r="AI168" s="10"/>
      <c r="AJ168" s="8"/>
      <c r="AK168" s="11"/>
      <c r="AL168" s="8">
        <f>IF($H168="","",IFERROR(VLOOKUP($H168,Справочники!$A$8:$B$22,2,0),""))</f>
      </c>
      <c r="AM168" s="8">
        <f>IF($AE168&lt;&gt;"",$AE168,IF(OR($H168="Выиграна",$H168="Договор заключён",$H168="Договор исполняется",$H168="Исполнен/закрыт"),"Выиграна",IF($H168="Проиграна","Проиграна",IF($H168="Отменена заказчиком","Отменена заказчиком",""))))</f>
      </c>
    </row>
    <row r="169" ht="18" customHeight="1" spans="1:39" x14ac:dyDescent="0.25">
      <c r="A169" s="7">
        <f>IF(COUNTA($B169:$K169)=0,"",COUNT($A$2:A168)+1)</f>
      </c>
      <c r="B169" s="8"/>
      <c r="C169" s="8"/>
      <c r="D169" s="8"/>
      <c r="E169" s="9"/>
      <c r="F169" s="10"/>
      <c r="G169" s="11"/>
      <c r="H169" s="8"/>
      <c r="I169" s="8"/>
      <c r="J169" s="8"/>
      <c r="K169" s="8"/>
      <c r="L169" s="8"/>
      <c r="M169" s="8"/>
      <c r="N169" s="12"/>
      <c r="O169" s="10">
        <f>IF($N169="","",IF($M169="Доллары",$N169*Справочники!$B$4,$N169))</f>
      </c>
      <c r="P169" s="8"/>
      <c r="Q169" s="8"/>
      <c r="R169" s="8"/>
      <c r="S169" s="10"/>
      <c r="T169" s="8"/>
      <c r="U169" s="8"/>
      <c r="V169" s="8"/>
      <c r="W169" s="11"/>
      <c r="X169" s="8"/>
      <c r="Y169" s="11"/>
      <c r="Z169" s="10"/>
      <c r="AA169" s="10"/>
      <c r="AB169" s="13">
        <f>IF(OR($Z169="",$AA169="",$Z169=0),"",($Z169-$AA169)/$Z169)</f>
      </c>
      <c r="AC169" s="8"/>
      <c r="AD169" s="11"/>
      <c r="AE169" s="8"/>
      <c r="AF169" s="8"/>
      <c r="AG169" s="8"/>
      <c r="AH169" s="11"/>
      <c r="AI169" s="10"/>
      <c r="AJ169" s="8"/>
      <c r="AK169" s="11"/>
      <c r="AL169" s="8">
        <f>IF($H169="","",IFERROR(VLOOKUP($H169,Справочники!$A$8:$B$22,2,0),""))</f>
      </c>
      <c r="AM169" s="8">
        <f>IF($AE169&lt;&gt;"",$AE169,IF(OR($H169="Выиграна",$H169="Договор заключён",$H169="Договор исполняется",$H169="Исполнен/закрыт"),"Выиграна",IF($H169="Проиграна","Проиграна",IF($H169="Отменена заказчиком","Отменена заказчиком",""))))</f>
      </c>
    </row>
    <row r="170" ht="18" customHeight="1" spans="1:39" x14ac:dyDescent="0.25">
      <c r="A170" s="7">
        <f>IF(COUNTA($B170:$K170)=0,"",COUNT($A$2:A169)+1)</f>
      </c>
      <c r="B170" s="8"/>
      <c r="C170" s="8"/>
      <c r="D170" s="8"/>
      <c r="E170" s="9"/>
      <c r="F170" s="10"/>
      <c r="G170" s="11"/>
      <c r="H170" s="8"/>
      <c r="I170" s="8"/>
      <c r="J170" s="8"/>
      <c r="K170" s="8"/>
      <c r="L170" s="8"/>
      <c r="M170" s="8"/>
      <c r="N170" s="12"/>
      <c r="O170" s="10">
        <f>IF($N170="","",IF($M170="Доллары",$N170*Справочники!$B$4,$N170))</f>
      </c>
      <c r="P170" s="8"/>
      <c r="Q170" s="8"/>
      <c r="R170" s="8"/>
      <c r="S170" s="10"/>
      <c r="T170" s="8"/>
      <c r="U170" s="8"/>
      <c r="V170" s="8"/>
      <c r="W170" s="11"/>
      <c r="X170" s="8"/>
      <c r="Y170" s="11"/>
      <c r="Z170" s="10"/>
      <c r="AA170" s="10"/>
      <c r="AB170" s="13">
        <f>IF(OR($Z170="",$AA170="",$Z170=0),"",($Z170-$AA170)/$Z170)</f>
      </c>
      <c r="AC170" s="8"/>
      <c r="AD170" s="11"/>
      <c r="AE170" s="8"/>
      <c r="AF170" s="8"/>
      <c r="AG170" s="8"/>
      <c r="AH170" s="11"/>
      <c r="AI170" s="10"/>
      <c r="AJ170" s="8"/>
      <c r="AK170" s="11"/>
      <c r="AL170" s="8">
        <f>IF($H170="","",IFERROR(VLOOKUP($H170,Справочники!$A$8:$B$22,2,0),""))</f>
      </c>
      <c r="AM170" s="8">
        <f>IF($AE170&lt;&gt;"",$AE170,IF(OR($H170="Выиграна",$H170="Договор заключён",$H170="Договор исполняется",$H170="Исполнен/закрыт"),"Выиграна",IF($H170="Проиграна","Проиграна",IF($H170="Отменена заказчиком","Отменена заказчиком",""))))</f>
      </c>
    </row>
    <row r="171" ht="18" customHeight="1" spans="1:39" x14ac:dyDescent="0.25">
      <c r="A171" s="7">
        <f>IF(COUNTA($B171:$K171)=0,"",COUNT($A$2:A170)+1)</f>
      </c>
      <c r="B171" s="8"/>
      <c r="C171" s="8"/>
      <c r="D171" s="8"/>
      <c r="E171" s="9"/>
      <c r="F171" s="10"/>
      <c r="G171" s="11"/>
      <c r="H171" s="8"/>
      <c r="I171" s="8"/>
      <c r="J171" s="8"/>
      <c r="K171" s="8"/>
      <c r="L171" s="8"/>
      <c r="M171" s="8"/>
      <c r="N171" s="12"/>
      <c r="O171" s="10">
        <f>IF($N171="","",IF($M171="Доллары",$N171*Справочники!$B$4,$N171))</f>
      </c>
      <c r="P171" s="8"/>
      <c r="Q171" s="8"/>
      <c r="R171" s="8"/>
      <c r="S171" s="10"/>
      <c r="T171" s="8"/>
      <c r="U171" s="8"/>
      <c r="V171" s="8"/>
      <c r="W171" s="11"/>
      <c r="X171" s="8"/>
      <c r="Y171" s="11"/>
      <c r="Z171" s="10"/>
      <c r="AA171" s="10"/>
      <c r="AB171" s="13">
        <f>IF(OR($Z171="",$AA171="",$Z171=0),"",($Z171-$AA171)/$Z171)</f>
      </c>
      <c r="AC171" s="8"/>
      <c r="AD171" s="11"/>
      <c r="AE171" s="8"/>
      <c r="AF171" s="8"/>
      <c r="AG171" s="8"/>
      <c r="AH171" s="11"/>
      <c r="AI171" s="10"/>
      <c r="AJ171" s="8"/>
      <c r="AK171" s="11"/>
      <c r="AL171" s="8">
        <f>IF($H171="","",IFERROR(VLOOKUP($H171,Справочники!$A$8:$B$22,2,0),""))</f>
      </c>
      <c r="AM171" s="8">
        <f>IF($AE171&lt;&gt;"",$AE171,IF(OR($H171="Выиграна",$H171="Договор заключён",$H171="Договор исполняется",$H171="Исполнен/закрыт"),"Выиграна",IF($H171="Проиграна","Проиграна",IF($H171="Отменена заказчиком","Отменена заказчиком",""))))</f>
      </c>
    </row>
    <row r="172" ht="18" customHeight="1" spans="1:39" x14ac:dyDescent="0.25">
      <c r="A172" s="7">
        <f>IF(COUNTA($B172:$K172)=0,"",COUNT($A$2:A171)+1)</f>
      </c>
      <c r="B172" s="8"/>
      <c r="C172" s="8"/>
      <c r="D172" s="8"/>
      <c r="E172" s="9"/>
      <c r="F172" s="10"/>
      <c r="G172" s="11"/>
      <c r="H172" s="8"/>
      <c r="I172" s="8"/>
      <c r="J172" s="8"/>
      <c r="K172" s="8"/>
      <c r="L172" s="8"/>
      <c r="M172" s="8"/>
      <c r="N172" s="12"/>
      <c r="O172" s="10">
        <f>IF($N172="","",IF($M172="Доллары",$N172*Справочники!$B$4,$N172))</f>
      </c>
      <c r="P172" s="8"/>
      <c r="Q172" s="8"/>
      <c r="R172" s="8"/>
      <c r="S172" s="10"/>
      <c r="T172" s="8"/>
      <c r="U172" s="8"/>
      <c r="V172" s="8"/>
      <c r="W172" s="11"/>
      <c r="X172" s="8"/>
      <c r="Y172" s="11"/>
      <c r="Z172" s="10"/>
      <c r="AA172" s="10"/>
      <c r="AB172" s="13">
        <f>IF(OR($Z172="",$AA172="",$Z172=0),"",($Z172-$AA172)/$Z172)</f>
      </c>
      <c r="AC172" s="8"/>
      <c r="AD172" s="11"/>
      <c r="AE172" s="8"/>
      <c r="AF172" s="8"/>
      <c r="AG172" s="8"/>
      <c r="AH172" s="11"/>
      <c r="AI172" s="10"/>
      <c r="AJ172" s="8"/>
      <c r="AK172" s="11"/>
      <c r="AL172" s="8">
        <f>IF($H172="","",IFERROR(VLOOKUP($H172,Справочники!$A$8:$B$22,2,0),""))</f>
      </c>
      <c r="AM172" s="8">
        <f>IF($AE172&lt;&gt;"",$AE172,IF(OR($H172="Выиграна",$H172="Договор заключён",$H172="Договор исполняется",$H172="Исполнен/закрыт"),"Выиграна",IF($H172="Проиграна","Проиграна",IF($H172="Отменена заказчиком","Отменена заказчиком",""))))</f>
      </c>
    </row>
    <row r="173" ht="18" customHeight="1" spans="1:39" x14ac:dyDescent="0.25">
      <c r="A173" s="7">
        <f>IF(COUNTA($B173:$K173)=0,"",COUNT($A$2:A172)+1)</f>
      </c>
      <c r="B173" s="8"/>
      <c r="C173" s="8"/>
      <c r="D173" s="8"/>
      <c r="E173" s="9"/>
      <c r="F173" s="10"/>
      <c r="G173" s="11"/>
      <c r="H173" s="8"/>
      <c r="I173" s="8"/>
      <c r="J173" s="8"/>
      <c r="K173" s="8"/>
      <c r="L173" s="8"/>
      <c r="M173" s="8"/>
      <c r="N173" s="12"/>
      <c r="O173" s="10">
        <f>IF($N173="","",IF($M173="Доллары",$N173*Справочники!$B$4,$N173))</f>
      </c>
      <c r="P173" s="8"/>
      <c r="Q173" s="8"/>
      <c r="R173" s="8"/>
      <c r="S173" s="10"/>
      <c r="T173" s="8"/>
      <c r="U173" s="8"/>
      <c r="V173" s="8"/>
      <c r="W173" s="11"/>
      <c r="X173" s="8"/>
      <c r="Y173" s="11"/>
      <c r="Z173" s="10"/>
      <c r="AA173" s="10"/>
      <c r="AB173" s="13">
        <f>IF(OR($Z173="",$AA173="",$Z173=0),"",($Z173-$AA173)/$Z173)</f>
      </c>
      <c r="AC173" s="8"/>
      <c r="AD173" s="11"/>
      <c r="AE173" s="8"/>
      <c r="AF173" s="8"/>
      <c r="AG173" s="8"/>
      <c r="AH173" s="11"/>
      <c r="AI173" s="10"/>
      <c r="AJ173" s="8"/>
      <c r="AK173" s="11"/>
      <c r="AL173" s="8">
        <f>IF($H173="","",IFERROR(VLOOKUP($H173,Справочники!$A$8:$B$22,2,0),""))</f>
      </c>
      <c r="AM173" s="8">
        <f>IF($AE173&lt;&gt;"",$AE173,IF(OR($H173="Выиграна",$H173="Договор заключён",$H173="Договор исполняется",$H173="Исполнен/закрыт"),"Выиграна",IF($H173="Проиграна","Проиграна",IF($H173="Отменена заказчиком","Отменена заказчиком",""))))</f>
      </c>
    </row>
    <row r="174" ht="18" customHeight="1" spans="1:39" x14ac:dyDescent="0.25">
      <c r="A174" s="7">
        <f>IF(COUNTA($B174:$K174)=0,"",COUNT($A$2:A173)+1)</f>
      </c>
      <c r="B174" s="8"/>
      <c r="C174" s="8"/>
      <c r="D174" s="8"/>
      <c r="E174" s="9"/>
      <c r="F174" s="10"/>
      <c r="G174" s="11"/>
      <c r="H174" s="8"/>
      <c r="I174" s="8"/>
      <c r="J174" s="8"/>
      <c r="K174" s="8"/>
      <c r="L174" s="8"/>
      <c r="M174" s="8"/>
      <c r="N174" s="12"/>
      <c r="O174" s="10">
        <f>IF($N174="","",IF($M174="Доллары",$N174*Справочники!$B$4,$N174))</f>
      </c>
      <c r="P174" s="8"/>
      <c r="Q174" s="8"/>
      <c r="R174" s="8"/>
      <c r="S174" s="10"/>
      <c r="T174" s="8"/>
      <c r="U174" s="8"/>
      <c r="V174" s="8"/>
      <c r="W174" s="11"/>
      <c r="X174" s="8"/>
      <c r="Y174" s="11"/>
      <c r="Z174" s="10"/>
      <c r="AA174" s="10"/>
      <c r="AB174" s="13">
        <f>IF(OR($Z174="",$AA174="",$Z174=0),"",($Z174-$AA174)/$Z174)</f>
      </c>
      <c r="AC174" s="8"/>
      <c r="AD174" s="11"/>
      <c r="AE174" s="8"/>
      <c r="AF174" s="8"/>
      <c r="AG174" s="8"/>
      <c r="AH174" s="11"/>
      <c r="AI174" s="10"/>
      <c r="AJ174" s="8"/>
      <c r="AK174" s="11"/>
      <c r="AL174" s="8">
        <f>IF($H174="","",IFERROR(VLOOKUP($H174,Справочники!$A$8:$B$22,2,0),""))</f>
      </c>
      <c r="AM174" s="8">
        <f>IF($AE174&lt;&gt;"",$AE174,IF(OR($H174="Выиграна",$H174="Договор заключён",$H174="Договор исполняется",$H174="Исполнен/закрыт"),"Выиграна",IF($H174="Проиграна","Проиграна",IF($H174="Отменена заказчиком","Отменена заказчиком",""))))</f>
      </c>
    </row>
    <row r="175" ht="18" customHeight="1" spans="1:39" x14ac:dyDescent="0.25">
      <c r="A175" s="7">
        <f>IF(COUNTA($B175:$K175)=0,"",COUNT($A$2:A174)+1)</f>
      </c>
      <c r="B175" s="8"/>
      <c r="C175" s="8"/>
      <c r="D175" s="8"/>
      <c r="E175" s="9"/>
      <c r="F175" s="10"/>
      <c r="G175" s="11"/>
      <c r="H175" s="8"/>
      <c r="I175" s="8"/>
      <c r="J175" s="8"/>
      <c r="K175" s="8"/>
      <c r="L175" s="8"/>
      <c r="M175" s="8"/>
      <c r="N175" s="12"/>
      <c r="O175" s="10">
        <f>IF($N175="","",IF($M175="Доллары",$N175*Справочники!$B$4,$N175))</f>
      </c>
      <c r="P175" s="8"/>
      <c r="Q175" s="8"/>
      <c r="R175" s="8"/>
      <c r="S175" s="10"/>
      <c r="T175" s="8"/>
      <c r="U175" s="8"/>
      <c r="V175" s="8"/>
      <c r="W175" s="11"/>
      <c r="X175" s="8"/>
      <c r="Y175" s="11"/>
      <c r="Z175" s="10"/>
      <c r="AA175" s="10"/>
      <c r="AB175" s="13">
        <f>IF(OR($Z175="",$AA175="",$Z175=0),"",($Z175-$AA175)/$Z175)</f>
      </c>
      <c r="AC175" s="8"/>
      <c r="AD175" s="11"/>
      <c r="AE175" s="8"/>
      <c r="AF175" s="8"/>
      <c r="AG175" s="8"/>
      <c r="AH175" s="11"/>
      <c r="AI175" s="10"/>
      <c r="AJ175" s="8"/>
      <c r="AK175" s="11"/>
      <c r="AL175" s="8">
        <f>IF($H175="","",IFERROR(VLOOKUP($H175,Справочники!$A$8:$B$22,2,0),""))</f>
      </c>
      <c r="AM175" s="8">
        <f>IF($AE175&lt;&gt;"",$AE175,IF(OR($H175="Выиграна",$H175="Договор заключён",$H175="Договор исполняется",$H175="Исполнен/закрыт"),"Выиграна",IF($H175="Проиграна","Проиграна",IF($H175="Отменена заказчиком","Отменена заказчиком",""))))</f>
      </c>
    </row>
    <row r="176" ht="18" customHeight="1" spans="1:39" x14ac:dyDescent="0.25">
      <c r="A176" s="7">
        <f>IF(COUNTA($B176:$K176)=0,"",COUNT($A$2:A175)+1)</f>
      </c>
      <c r="B176" s="8"/>
      <c r="C176" s="8"/>
      <c r="D176" s="8"/>
      <c r="E176" s="9"/>
      <c r="F176" s="10"/>
      <c r="G176" s="11"/>
      <c r="H176" s="8"/>
      <c r="I176" s="8"/>
      <c r="J176" s="8"/>
      <c r="K176" s="8"/>
      <c r="L176" s="8"/>
      <c r="M176" s="8"/>
      <c r="N176" s="12"/>
      <c r="O176" s="10">
        <f>IF($N176="","",IF($M176="Доллары",$N176*Справочники!$B$4,$N176))</f>
      </c>
      <c r="P176" s="8"/>
      <c r="Q176" s="8"/>
      <c r="R176" s="8"/>
      <c r="S176" s="10"/>
      <c r="T176" s="8"/>
      <c r="U176" s="8"/>
      <c r="V176" s="8"/>
      <c r="W176" s="11"/>
      <c r="X176" s="8"/>
      <c r="Y176" s="11"/>
      <c r="Z176" s="10"/>
      <c r="AA176" s="10"/>
      <c r="AB176" s="13">
        <f>IF(OR($Z176="",$AA176="",$Z176=0),"",($Z176-$AA176)/$Z176)</f>
      </c>
      <c r="AC176" s="8"/>
      <c r="AD176" s="11"/>
      <c r="AE176" s="8"/>
      <c r="AF176" s="8"/>
      <c r="AG176" s="8"/>
      <c r="AH176" s="11"/>
      <c r="AI176" s="10"/>
      <c r="AJ176" s="8"/>
      <c r="AK176" s="11"/>
      <c r="AL176" s="8">
        <f>IF($H176="","",IFERROR(VLOOKUP($H176,Справочники!$A$8:$B$22,2,0),""))</f>
      </c>
      <c r="AM176" s="8">
        <f>IF($AE176&lt;&gt;"",$AE176,IF(OR($H176="Выиграна",$H176="Договор заключён",$H176="Договор исполняется",$H176="Исполнен/закрыт"),"Выиграна",IF($H176="Проиграна","Проиграна",IF($H176="Отменена заказчиком","Отменена заказчиком",""))))</f>
      </c>
    </row>
    <row r="177" ht="18" customHeight="1" spans="1:39" x14ac:dyDescent="0.25">
      <c r="A177" s="7">
        <f>IF(COUNTA($B177:$K177)=0,"",COUNT($A$2:A176)+1)</f>
      </c>
      <c r="B177" s="8"/>
      <c r="C177" s="8"/>
      <c r="D177" s="8"/>
      <c r="E177" s="9"/>
      <c r="F177" s="10"/>
      <c r="G177" s="11"/>
      <c r="H177" s="8"/>
      <c r="I177" s="8"/>
      <c r="J177" s="8"/>
      <c r="K177" s="8"/>
      <c r="L177" s="8"/>
      <c r="M177" s="8"/>
      <c r="N177" s="12"/>
      <c r="O177" s="10">
        <f>IF($N177="","",IF($M177="Доллары",$N177*Справочники!$B$4,$N177))</f>
      </c>
      <c r="P177" s="8"/>
      <c r="Q177" s="8"/>
      <c r="R177" s="8"/>
      <c r="S177" s="10"/>
      <c r="T177" s="8"/>
      <c r="U177" s="8"/>
      <c r="V177" s="8"/>
      <c r="W177" s="11"/>
      <c r="X177" s="8"/>
      <c r="Y177" s="11"/>
      <c r="Z177" s="10"/>
      <c r="AA177" s="10"/>
      <c r="AB177" s="13">
        <f>IF(OR($Z177="",$AA177="",$Z177=0),"",($Z177-$AA177)/$Z177)</f>
      </c>
      <c r="AC177" s="8"/>
      <c r="AD177" s="11"/>
      <c r="AE177" s="8"/>
      <c r="AF177" s="8"/>
      <c r="AG177" s="8"/>
      <c r="AH177" s="11"/>
      <c r="AI177" s="10"/>
      <c r="AJ177" s="8"/>
      <c r="AK177" s="11"/>
      <c r="AL177" s="8">
        <f>IF($H177="","",IFERROR(VLOOKUP($H177,Справочники!$A$8:$B$22,2,0),""))</f>
      </c>
      <c r="AM177" s="8">
        <f>IF($AE177&lt;&gt;"",$AE177,IF(OR($H177="Выиграна",$H177="Договор заключён",$H177="Договор исполняется",$H177="Исполнен/закрыт"),"Выиграна",IF($H177="Проиграна","Проиграна",IF($H177="Отменена заказчиком","Отменена заказчиком",""))))</f>
      </c>
    </row>
    <row r="178" ht="18" customHeight="1" spans="1:39" x14ac:dyDescent="0.25">
      <c r="A178" s="7">
        <f>IF(COUNTA($B178:$K178)=0,"",COUNT($A$2:A177)+1)</f>
      </c>
      <c r="B178" s="8"/>
      <c r="C178" s="8"/>
      <c r="D178" s="8"/>
      <c r="E178" s="9"/>
      <c r="F178" s="10"/>
      <c r="G178" s="11"/>
      <c r="H178" s="8"/>
      <c r="I178" s="8"/>
      <c r="J178" s="8"/>
      <c r="K178" s="8"/>
      <c r="L178" s="8"/>
      <c r="M178" s="8"/>
      <c r="N178" s="12"/>
      <c r="O178" s="10">
        <f>IF($N178="","",IF($M178="Доллары",$N178*Справочники!$B$4,$N178))</f>
      </c>
      <c r="P178" s="8"/>
      <c r="Q178" s="8"/>
      <c r="R178" s="8"/>
      <c r="S178" s="10"/>
      <c r="T178" s="8"/>
      <c r="U178" s="8"/>
      <c r="V178" s="8"/>
      <c r="W178" s="11"/>
      <c r="X178" s="8"/>
      <c r="Y178" s="11"/>
      <c r="Z178" s="10"/>
      <c r="AA178" s="10"/>
      <c r="AB178" s="13">
        <f>IF(OR($Z178="",$AA178="",$Z178=0),"",($Z178-$AA178)/$Z178)</f>
      </c>
      <c r="AC178" s="8"/>
      <c r="AD178" s="11"/>
      <c r="AE178" s="8"/>
      <c r="AF178" s="8"/>
      <c r="AG178" s="8"/>
      <c r="AH178" s="11"/>
      <c r="AI178" s="10"/>
      <c r="AJ178" s="8"/>
      <c r="AK178" s="11"/>
      <c r="AL178" s="8">
        <f>IF($H178="","",IFERROR(VLOOKUP($H178,Справочники!$A$8:$B$22,2,0),""))</f>
      </c>
      <c r="AM178" s="8">
        <f>IF($AE178&lt;&gt;"",$AE178,IF(OR($H178="Выиграна",$H178="Договор заключён",$H178="Договор исполняется",$H178="Исполнен/закрыт"),"Выиграна",IF($H178="Проиграна","Проиграна",IF($H178="Отменена заказчиком","Отменена заказчиком",""))))</f>
      </c>
    </row>
    <row r="179" ht="18" customHeight="1" spans="1:39" x14ac:dyDescent="0.25">
      <c r="A179" s="7">
        <f>IF(COUNTA($B179:$K179)=0,"",COUNT($A$2:A178)+1)</f>
      </c>
      <c r="B179" s="8"/>
      <c r="C179" s="8"/>
      <c r="D179" s="8"/>
      <c r="E179" s="9"/>
      <c r="F179" s="10"/>
      <c r="G179" s="11"/>
      <c r="H179" s="8"/>
      <c r="I179" s="8"/>
      <c r="J179" s="8"/>
      <c r="K179" s="8"/>
      <c r="L179" s="8"/>
      <c r="M179" s="8"/>
      <c r="N179" s="12"/>
      <c r="O179" s="10">
        <f>IF($N179="","",IF($M179="Доллары",$N179*Справочники!$B$4,$N179))</f>
      </c>
      <c r="P179" s="8"/>
      <c r="Q179" s="8"/>
      <c r="R179" s="8"/>
      <c r="S179" s="10"/>
      <c r="T179" s="8"/>
      <c r="U179" s="8"/>
      <c r="V179" s="8"/>
      <c r="W179" s="11"/>
      <c r="X179" s="8"/>
      <c r="Y179" s="11"/>
      <c r="Z179" s="10"/>
      <c r="AA179" s="10"/>
      <c r="AB179" s="13">
        <f>IF(OR($Z179="",$AA179="",$Z179=0),"",($Z179-$AA179)/$Z179)</f>
      </c>
      <c r="AC179" s="8"/>
      <c r="AD179" s="11"/>
      <c r="AE179" s="8"/>
      <c r="AF179" s="8"/>
      <c r="AG179" s="8"/>
      <c r="AH179" s="11"/>
      <c r="AI179" s="10"/>
      <c r="AJ179" s="8"/>
      <c r="AK179" s="11"/>
      <c r="AL179" s="8">
        <f>IF($H179="","",IFERROR(VLOOKUP($H179,Справочники!$A$8:$B$22,2,0),""))</f>
      </c>
      <c r="AM179" s="8">
        <f>IF($AE179&lt;&gt;"",$AE179,IF(OR($H179="Выиграна",$H179="Договор заключён",$H179="Договор исполняется",$H179="Исполнен/закрыт"),"Выиграна",IF($H179="Проиграна","Проиграна",IF($H179="Отменена заказчиком","Отменена заказчиком",""))))</f>
      </c>
    </row>
    <row r="180" ht="18" customHeight="1" spans="1:39" x14ac:dyDescent="0.25">
      <c r="A180" s="7">
        <f>IF(COUNTA($B180:$K180)=0,"",COUNT($A$2:A179)+1)</f>
      </c>
      <c r="B180" s="8"/>
      <c r="C180" s="8"/>
      <c r="D180" s="8"/>
      <c r="E180" s="9"/>
      <c r="F180" s="10"/>
      <c r="G180" s="11"/>
      <c r="H180" s="8"/>
      <c r="I180" s="8"/>
      <c r="J180" s="8"/>
      <c r="K180" s="8"/>
      <c r="L180" s="8"/>
      <c r="M180" s="8"/>
      <c r="N180" s="12"/>
      <c r="O180" s="10">
        <f>IF($N180="","",IF($M180="Доллары",$N180*Справочники!$B$4,$N180))</f>
      </c>
      <c r="P180" s="8"/>
      <c r="Q180" s="8"/>
      <c r="R180" s="8"/>
      <c r="S180" s="10"/>
      <c r="T180" s="8"/>
      <c r="U180" s="8"/>
      <c r="V180" s="8"/>
      <c r="W180" s="11"/>
      <c r="X180" s="8"/>
      <c r="Y180" s="11"/>
      <c r="Z180" s="10"/>
      <c r="AA180" s="10"/>
      <c r="AB180" s="13">
        <f>IF(OR($Z180="",$AA180="",$Z180=0),"",($Z180-$AA180)/$Z180)</f>
      </c>
      <c r="AC180" s="8"/>
      <c r="AD180" s="11"/>
      <c r="AE180" s="8"/>
      <c r="AF180" s="8"/>
      <c r="AG180" s="8"/>
      <c r="AH180" s="11"/>
      <c r="AI180" s="10"/>
      <c r="AJ180" s="8"/>
      <c r="AK180" s="11"/>
      <c r="AL180" s="8">
        <f>IF($H180="","",IFERROR(VLOOKUP($H180,Справочники!$A$8:$B$22,2,0),""))</f>
      </c>
      <c r="AM180" s="8">
        <f>IF($AE180&lt;&gt;"",$AE180,IF(OR($H180="Выиграна",$H180="Договор заключён",$H180="Договор исполняется",$H180="Исполнен/закрыт"),"Выиграна",IF($H180="Проиграна","Проиграна",IF($H180="Отменена заказчиком","Отменена заказчиком",""))))</f>
      </c>
    </row>
    <row r="181" ht="18" customHeight="1" spans="1:39" x14ac:dyDescent="0.25">
      <c r="A181" s="7">
        <f>IF(COUNTA($B181:$K181)=0,"",COUNT($A$2:A180)+1)</f>
      </c>
      <c r="B181" s="8"/>
      <c r="C181" s="8"/>
      <c r="D181" s="8"/>
      <c r="E181" s="9"/>
      <c r="F181" s="10"/>
      <c r="G181" s="11"/>
      <c r="H181" s="8"/>
      <c r="I181" s="8"/>
      <c r="J181" s="8"/>
      <c r="K181" s="8"/>
      <c r="L181" s="8"/>
      <c r="M181" s="8"/>
      <c r="N181" s="12"/>
      <c r="O181" s="10">
        <f>IF($N181="","",IF($M181="Доллары",$N181*Справочники!$B$4,$N181))</f>
      </c>
      <c r="P181" s="8"/>
      <c r="Q181" s="8"/>
      <c r="R181" s="8"/>
      <c r="S181" s="10"/>
      <c r="T181" s="8"/>
      <c r="U181" s="8"/>
      <c r="V181" s="8"/>
      <c r="W181" s="11"/>
      <c r="X181" s="8"/>
      <c r="Y181" s="11"/>
      <c r="Z181" s="10"/>
      <c r="AA181" s="10"/>
      <c r="AB181" s="13">
        <f>IF(OR($Z181="",$AA181="",$Z181=0),"",($Z181-$AA181)/$Z181)</f>
      </c>
      <c r="AC181" s="8"/>
      <c r="AD181" s="11"/>
      <c r="AE181" s="8"/>
      <c r="AF181" s="8"/>
      <c r="AG181" s="8"/>
      <c r="AH181" s="11"/>
      <c r="AI181" s="10"/>
      <c r="AJ181" s="8"/>
      <c r="AK181" s="11"/>
      <c r="AL181" s="8">
        <f>IF($H181="","",IFERROR(VLOOKUP($H181,Справочники!$A$8:$B$22,2,0),""))</f>
      </c>
      <c r="AM181" s="8">
        <f>IF($AE181&lt;&gt;"",$AE181,IF(OR($H181="Выиграна",$H181="Договор заключён",$H181="Договор исполняется",$H181="Исполнен/закрыт"),"Выиграна",IF($H181="Проиграна","Проиграна",IF($H181="Отменена заказчиком","Отменена заказчиком",""))))</f>
      </c>
    </row>
    <row r="182" ht="18" customHeight="1" spans="1:39" x14ac:dyDescent="0.25">
      <c r="A182" s="7">
        <f>IF(COUNTA($B182:$K182)=0,"",COUNT($A$2:A181)+1)</f>
      </c>
      <c r="B182" s="8"/>
      <c r="C182" s="8"/>
      <c r="D182" s="8"/>
      <c r="E182" s="9"/>
      <c r="F182" s="10"/>
      <c r="G182" s="11"/>
      <c r="H182" s="8"/>
      <c r="I182" s="8"/>
      <c r="J182" s="8"/>
      <c r="K182" s="8"/>
      <c r="L182" s="8"/>
      <c r="M182" s="8"/>
      <c r="N182" s="12"/>
      <c r="O182" s="10">
        <f>IF($N182="","",IF($M182="Доллары",$N182*Справочники!$B$4,$N182))</f>
      </c>
      <c r="P182" s="8"/>
      <c r="Q182" s="8"/>
      <c r="R182" s="8"/>
      <c r="S182" s="10"/>
      <c r="T182" s="8"/>
      <c r="U182" s="8"/>
      <c r="V182" s="8"/>
      <c r="W182" s="11"/>
      <c r="X182" s="8"/>
      <c r="Y182" s="11"/>
      <c r="Z182" s="10"/>
      <c r="AA182" s="10"/>
      <c r="AB182" s="13">
        <f>IF(OR($Z182="",$AA182="",$Z182=0),"",($Z182-$AA182)/$Z182)</f>
      </c>
      <c r="AC182" s="8"/>
      <c r="AD182" s="11"/>
      <c r="AE182" s="8"/>
      <c r="AF182" s="8"/>
      <c r="AG182" s="8"/>
      <c r="AH182" s="11"/>
      <c r="AI182" s="10"/>
      <c r="AJ182" s="8"/>
      <c r="AK182" s="11"/>
      <c r="AL182" s="8">
        <f>IF($H182="","",IFERROR(VLOOKUP($H182,Справочники!$A$8:$B$22,2,0),""))</f>
      </c>
      <c r="AM182" s="8">
        <f>IF($AE182&lt;&gt;"",$AE182,IF(OR($H182="Выиграна",$H182="Договор заключён",$H182="Договор исполняется",$H182="Исполнен/закрыт"),"Выиграна",IF($H182="Проиграна","Проиграна",IF($H182="Отменена заказчиком","Отменена заказчиком",""))))</f>
      </c>
    </row>
    <row r="183" ht="18" customHeight="1" spans="1:39" x14ac:dyDescent="0.25">
      <c r="A183" s="7">
        <f>IF(COUNTA($B183:$K183)=0,"",COUNT($A$2:A182)+1)</f>
      </c>
      <c r="B183" s="8"/>
      <c r="C183" s="8"/>
      <c r="D183" s="8"/>
      <c r="E183" s="9"/>
      <c r="F183" s="10"/>
      <c r="G183" s="11"/>
      <c r="H183" s="8"/>
      <c r="I183" s="8"/>
      <c r="J183" s="8"/>
      <c r="K183" s="8"/>
      <c r="L183" s="8"/>
      <c r="M183" s="8"/>
      <c r="N183" s="12"/>
      <c r="O183" s="10">
        <f>IF($N183="","",IF($M183="Доллары",$N183*Справочники!$B$4,$N183))</f>
      </c>
      <c r="P183" s="8"/>
      <c r="Q183" s="8"/>
      <c r="R183" s="8"/>
      <c r="S183" s="10"/>
      <c r="T183" s="8"/>
      <c r="U183" s="8"/>
      <c r="V183" s="8"/>
      <c r="W183" s="11"/>
      <c r="X183" s="8"/>
      <c r="Y183" s="11"/>
      <c r="Z183" s="10"/>
      <c r="AA183" s="10"/>
      <c r="AB183" s="13">
        <f>IF(OR($Z183="",$AA183="",$Z183=0),"",($Z183-$AA183)/$Z183)</f>
      </c>
      <c r="AC183" s="8"/>
      <c r="AD183" s="11"/>
      <c r="AE183" s="8"/>
      <c r="AF183" s="8"/>
      <c r="AG183" s="8"/>
      <c r="AH183" s="11"/>
      <c r="AI183" s="10"/>
      <c r="AJ183" s="8"/>
      <c r="AK183" s="11"/>
      <c r="AL183" s="8">
        <f>IF($H183="","",IFERROR(VLOOKUP($H183,Справочники!$A$8:$B$22,2,0),""))</f>
      </c>
      <c r="AM183" s="8">
        <f>IF($AE183&lt;&gt;"",$AE183,IF(OR($H183="Выиграна",$H183="Договор заключён",$H183="Договор исполняется",$H183="Исполнен/закрыт"),"Выиграна",IF($H183="Проиграна","Проиграна",IF($H183="Отменена заказчиком","Отменена заказчиком",""))))</f>
      </c>
    </row>
    <row r="184" ht="18" customHeight="1" spans="1:39" x14ac:dyDescent="0.25">
      <c r="A184" s="7">
        <f>IF(COUNTA($B184:$K184)=0,"",COUNT($A$2:A183)+1)</f>
      </c>
      <c r="B184" s="8"/>
      <c r="C184" s="8"/>
      <c r="D184" s="8"/>
      <c r="E184" s="9"/>
      <c r="F184" s="10"/>
      <c r="G184" s="11"/>
      <c r="H184" s="8"/>
      <c r="I184" s="8"/>
      <c r="J184" s="8"/>
      <c r="K184" s="8"/>
      <c r="L184" s="8"/>
      <c r="M184" s="8"/>
      <c r="N184" s="12"/>
      <c r="O184" s="10">
        <f>IF($N184="","",IF($M184="Доллары",$N184*Справочники!$B$4,$N184))</f>
      </c>
      <c r="P184" s="8"/>
      <c r="Q184" s="8"/>
      <c r="R184" s="8"/>
      <c r="S184" s="10"/>
      <c r="T184" s="8"/>
      <c r="U184" s="8"/>
      <c r="V184" s="8"/>
      <c r="W184" s="11"/>
      <c r="X184" s="8"/>
      <c r="Y184" s="11"/>
      <c r="Z184" s="10"/>
      <c r="AA184" s="10"/>
      <c r="AB184" s="13">
        <f>IF(OR($Z184="",$AA184="",$Z184=0),"",($Z184-$AA184)/$Z184)</f>
      </c>
      <c r="AC184" s="8"/>
      <c r="AD184" s="11"/>
      <c r="AE184" s="8"/>
      <c r="AF184" s="8"/>
      <c r="AG184" s="8"/>
      <c r="AH184" s="11"/>
      <c r="AI184" s="10"/>
      <c r="AJ184" s="8"/>
      <c r="AK184" s="11"/>
      <c r="AL184" s="8">
        <f>IF($H184="","",IFERROR(VLOOKUP($H184,Справочники!$A$8:$B$22,2,0),""))</f>
      </c>
      <c r="AM184" s="8">
        <f>IF($AE184&lt;&gt;"",$AE184,IF(OR($H184="Выиграна",$H184="Договор заключён",$H184="Договор исполняется",$H184="Исполнен/закрыт"),"Выиграна",IF($H184="Проиграна","Проиграна",IF($H184="Отменена заказчиком","Отменена заказчиком",""))))</f>
      </c>
    </row>
    <row r="185" ht="18" customHeight="1" spans="1:39" x14ac:dyDescent="0.25">
      <c r="A185" s="7">
        <f>IF(COUNTA($B185:$K185)=0,"",COUNT($A$2:A184)+1)</f>
      </c>
      <c r="B185" s="8"/>
      <c r="C185" s="8"/>
      <c r="D185" s="8"/>
      <c r="E185" s="9"/>
      <c r="F185" s="10"/>
      <c r="G185" s="11"/>
      <c r="H185" s="8"/>
      <c r="I185" s="8"/>
      <c r="J185" s="8"/>
      <c r="K185" s="8"/>
      <c r="L185" s="8"/>
      <c r="M185" s="8"/>
      <c r="N185" s="12"/>
      <c r="O185" s="10">
        <f>IF($N185="","",IF($M185="Доллары",$N185*Справочники!$B$4,$N185))</f>
      </c>
      <c r="P185" s="8"/>
      <c r="Q185" s="8"/>
      <c r="R185" s="8"/>
      <c r="S185" s="10"/>
      <c r="T185" s="8"/>
      <c r="U185" s="8"/>
      <c r="V185" s="8"/>
      <c r="W185" s="11"/>
      <c r="X185" s="8"/>
      <c r="Y185" s="11"/>
      <c r="Z185" s="10"/>
      <c r="AA185" s="10"/>
      <c r="AB185" s="13">
        <f>IF(OR($Z185="",$AA185="",$Z185=0),"",($Z185-$AA185)/$Z185)</f>
      </c>
      <c r="AC185" s="8"/>
      <c r="AD185" s="11"/>
      <c r="AE185" s="8"/>
      <c r="AF185" s="8"/>
      <c r="AG185" s="8"/>
      <c r="AH185" s="11"/>
      <c r="AI185" s="10"/>
      <c r="AJ185" s="8"/>
      <c r="AK185" s="11"/>
      <c r="AL185" s="8">
        <f>IF($H185="","",IFERROR(VLOOKUP($H185,Справочники!$A$8:$B$22,2,0),""))</f>
      </c>
      <c r="AM185" s="8">
        <f>IF($AE185&lt;&gt;"",$AE185,IF(OR($H185="Выиграна",$H185="Договор заключён",$H185="Договор исполняется",$H185="Исполнен/закрыт"),"Выиграна",IF($H185="Проиграна","Проиграна",IF($H185="Отменена заказчиком","Отменена заказчиком",""))))</f>
      </c>
    </row>
    <row r="186" ht="18" customHeight="1" spans="1:39" x14ac:dyDescent="0.25">
      <c r="A186" s="7">
        <f>IF(COUNTA($B186:$K186)=0,"",COUNT($A$2:A185)+1)</f>
      </c>
      <c r="B186" s="8"/>
      <c r="C186" s="8"/>
      <c r="D186" s="8"/>
      <c r="E186" s="9"/>
      <c r="F186" s="10"/>
      <c r="G186" s="11"/>
      <c r="H186" s="8"/>
      <c r="I186" s="8"/>
      <c r="J186" s="8"/>
      <c r="K186" s="8"/>
      <c r="L186" s="8"/>
      <c r="M186" s="8"/>
      <c r="N186" s="12"/>
      <c r="O186" s="10">
        <f>IF($N186="","",IF($M186="Доллары",$N186*Справочники!$B$4,$N186))</f>
      </c>
      <c r="P186" s="8"/>
      <c r="Q186" s="8"/>
      <c r="R186" s="8"/>
      <c r="S186" s="10"/>
      <c r="T186" s="8"/>
      <c r="U186" s="8"/>
      <c r="V186" s="8"/>
      <c r="W186" s="11"/>
      <c r="X186" s="8"/>
      <c r="Y186" s="11"/>
      <c r="Z186" s="10"/>
      <c r="AA186" s="10"/>
      <c r="AB186" s="13">
        <f>IF(OR($Z186="",$AA186="",$Z186=0),"",($Z186-$AA186)/$Z186)</f>
      </c>
      <c r="AC186" s="8"/>
      <c r="AD186" s="11"/>
      <c r="AE186" s="8"/>
      <c r="AF186" s="8"/>
      <c r="AG186" s="8"/>
      <c r="AH186" s="11"/>
      <c r="AI186" s="10"/>
      <c r="AJ186" s="8"/>
      <c r="AK186" s="11"/>
      <c r="AL186" s="8">
        <f>IF($H186="","",IFERROR(VLOOKUP($H186,Справочники!$A$8:$B$22,2,0),""))</f>
      </c>
      <c r="AM186" s="8">
        <f>IF($AE186&lt;&gt;"",$AE186,IF(OR($H186="Выиграна",$H186="Договор заключён",$H186="Договор исполняется",$H186="Исполнен/закрыт"),"Выиграна",IF($H186="Проиграна","Проиграна",IF($H186="Отменена заказчиком","Отменена заказчиком",""))))</f>
      </c>
    </row>
    <row r="187" ht="18" customHeight="1" spans="1:39" x14ac:dyDescent="0.25">
      <c r="A187" s="7">
        <f>IF(COUNTA($B187:$K187)=0,"",COUNT($A$2:A186)+1)</f>
      </c>
      <c r="B187" s="8"/>
      <c r="C187" s="8"/>
      <c r="D187" s="8"/>
      <c r="E187" s="9"/>
      <c r="F187" s="10"/>
      <c r="G187" s="11"/>
      <c r="H187" s="8"/>
      <c r="I187" s="8"/>
      <c r="J187" s="8"/>
      <c r="K187" s="8"/>
      <c r="L187" s="8"/>
      <c r="M187" s="8"/>
      <c r="N187" s="12"/>
      <c r="O187" s="10">
        <f>IF($N187="","",IF($M187="Доллары",$N187*Справочники!$B$4,$N187))</f>
      </c>
      <c r="P187" s="8"/>
      <c r="Q187" s="8"/>
      <c r="R187" s="8"/>
      <c r="S187" s="10"/>
      <c r="T187" s="8"/>
      <c r="U187" s="8"/>
      <c r="V187" s="8"/>
      <c r="W187" s="11"/>
      <c r="X187" s="8"/>
      <c r="Y187" s="11"/>
      <c r="Z187" s="10"/>
      <c r="AA187" s="10"/>
      <c r="AB187" s="13">
        <f>IF(OR($Z187="",$AA187="",$Z187=0),"",($Z187-$AA187)/$Z187)</f>
      </c>
      <c r="AC187" s="8"/>
      <c r="AD187" s="11"/>
      <c r="AE187" s="8"/>
      <c r="AF187" s="8"/>
      <c r="AG187" s="8"/>
      <c r="AH187" s="11"/>
      <c r="AI187" s="10"/>
      <c r="AJ187" s="8"/>
      <c r="AK187" s="11"/>
      <c r="AL187" s="8">
        <f>IF($H187="","",IFERROR(VLOOKUP($H187,Справочники!$A$8:$B$22,2,0),""))</f>
      </c>
      <c r="AM187" s="8">
        <f>IF($AE187&lt;&gt;"",$AE187,IF(OR($H187="Выиграна",$H187="Договор заключён",$H187="Договор исполняется",$H187="Исполнен/закрыт"),"Выиграна",IF($H187="Проиграна","Проиграна",IF($H187="Отменена заказчиком","Отменена заказчиком",""))))</f>
      </c>
    </row>
    <row r="188" ht="18" customHeight="1" spans="1:39" x14ac:dyDescent="0.25">
      <c r="A188" s="7">
        <f>IF(COUNTA($B188:$K188)=0,"",COUNT($A$2:A187)+1)</f>
      </c>
      <c r="B188" s="8"/>
      <c r="C188" s="8"/>
      <c r="D188" s="8"/>
      <c r="E188" s="9"/>
      <c r="F188" s="10"/>
      <c r="G188" s="11"/>
      <c r="H188" s="8"/>
      <c r="I188" s="8"/>
      <c r="J188" s="8"/>
      <c r="K188" s="8"/>
      <c r="L188" s="8"/>
      <c r="M188" s="8"/>
      <c r="N188" s="12"/>
      <c r="O188" s="10">
        <f>IF($N188="","",IF($M188="Доллары",$N188*Справочники!$B$4,$N188))</f>
      </c>
      <c r="P188" s="8"/>
      <c r="Q188" s="8"/>
      <c r="R188" s="8"/>
      <c r="S188" s="10"/>
      <c r="T188" s="8"/>
      <c r="U188" s="8"/>
      <c r="V188" s="8"/>
      <c r="W188" s="11"/>
      <c r="X188" s="8"/>
      <c r="Y188" s="11"/>
      <c r="Z188" s="10"/>
      <c r="AA188" s="10"/>
      <c r="AB188" s="13">
        <f>IF(OR($Z188="",$AA188="",$Z188=0),"",($Z188-$AA188)/$Z188)</f>
      </c>
      <c r="AC188" s="8"/>
      <c r="AD188" s="11"/>
      <c r="AE188" s="8"/>
      <c r="AF188" s="8"/>
      <c r="AG188" s="8"/>
      <c r="AH188" s="11"/>
      <c r="AI188" s="10"/>
      <c r="AJ188" s="8"/>
      <c r="AK188" s="11"/>
      <c r="AL188" s="8">
        <f>IF($H188="","",IFERROR(VLOOKUP($H188,Справочники!$A$8:$B$22,2,0),""))</f>
      </c>
      <c r="AM188" s="8">
        <f>IF($AE188&lt;&gt;"",$AE188,IF(OR($H188="Выиграна",$H188="Договор заключён",$H188="Договор исполняется",$H188="Исполнен/закрыт"),"Выиграна",IF($H188="Проиграна","Проиграна",IF($H188="Отменена заказчиком","Отменена заказчиком",""))))</f>
      </c>
    </row>
    <row r="189" ht="18" customHeight="1" spans="1:39" x14ac:dyDescent="0.25">
      <c r="A189" s="7">
        <f>IF(COUNTA($B189:$K189)=0,"",COUNT($A$2:A188)+1)</f>
      </c>
      <c r="B189" s="8"/>
      <c r="C189" s="8"/>
      <c r="D189" s="8"/>
      <c r="E189" s="9"/>
      <c r="F189" s="10"/>
      <c r="G189" s="11"/>
      <c r="H189" s="8"/>
      <c r="I189" s="8"/>
      <c r="J189" s="8"/>
      <c r="K189" s="8"/>
      <c r="L189" s="8"/>
      <c r="M189" s="8"/>
      <c r="N189" s="12"/>
      <c r="O189" s="10">
        <f>IF($N189="","",IF($M189="Доллары",$N189*Справочники!$B$4,$N189))</f>
      </c>
      <c r="P189" s="8"/>
      <c r="Q189" s="8"/>
      <c r="R189" s="8"/>
      <c r="S189" s="10"/>
      <c r="T189" s="8"/>
      <c r="U189" s="8"/>
      <c r="V189" s="8"/>
      <c r="W189" s="11"/>
      <c r="X189" s="8"/>
      <c r="Y189" s="11"/>
      <c r="Z189" s="10"/>
      <c r="AA189" s="10"/>
      <c r="AB189" s="13">
        <f>IF(OR($Z189="",$AA189="",$Z189=0),"",($Z189-$AA189)/$Z189)</f>
      </c>
      <c r="AC189" s="8"/>
      <c r="AD189" s="11"/>
      <c r="AE189" s="8"/>
      <c r="AF189" s="8"/>
      <c r="AG189" s="8"/>
      <c r="AH189" s="11"/>
      <c r="AI189" s="10"/>
      <c r="AJ189" s="8"/>
      <c r="AK189" s="11"/>
      <c r="AL189" s="8">
        <f>IF($H189="","",IFERROR(VLOOKUP($H189,Справочники!$A$8:$B$22,2,0),""))</f>
      </c>
      <c r="AM189" s="8">
        <f>IF($AE189&lt;&gt;"",$AE189,IF(OR($H189="Выиграна",$H189="Договор заключён",$H189="Договор исполняется",$H189="Исполнен/закрыт"),"Выиграна",IF($H189="Проиграна","Проиграна",IF($H189="Отменена заказчиком","Отменена заказчиком",""))))</f>
      </c>
    </row>
    <row r="190" ht="18" customHeight="1" spans="1:39" x14ac:dyDescent="0.25">
      <c r="A190" s="7">
        <f>IF(COUNTA($B190:$K190)=0,"",COUNT($A$2:A189)+1)</f>
      </c>
      <c r="B190" s="8"/>
      <c r="C190" s="8"/>
      <c r="D190" s="8"/>
      <c r="E190" s="9"/>
      <c r="F190" s="10"/>
      <c r="G190" s="11"/>
      <c r="H190" s="8"/>
      <c r="I190" s="8"/>
      <c r="J190" s="8"/>
      <c r="K190" s="8"/>
      <c r="L190" s="8"/>
      <c r="M190" s="8"/>
      <c r="N190" s="12"/>
      <c r="O190" s="10">
        <f>IF($N190="","",IF($M190="Доллары",$N190*Справочники!$B$4,$N190))</f>
      </c>
      <c r="P190" s="8"/>
      <c r="Q190" s="8"/>
      <c r="R190" s="8"/>
      <c r="S190" s="10"/>
      <c r="T190" s="8"/>
      <c r="U190" s="8"/>
      <c r="V190" s="8"/>
      <c r="W190" s="11"/>
      <c r="X190" s="8"/>
      <c r="Y190" s="11"/>
      <c r="Z190" s="10"/>
      <c r="AA190" s="10"/>
      <c r="AB190" s="13">
        <f>IF(OR($Z190="",$AA190="",$Z190=0),"",($Z190-$AA190)/$Z190)</f>
      </c>
      <c r="AC190" s="8"/>
      <c r="AD190" s="11"/>
      <c r="AE190" s="8"/>
      <c r="AF190" s="8"/>
      <c r="AG190" s="8"/>
      <c r="AH190" s="11"/>
      <c r="AI190" s="10"/>
      <c r="AJ190" s="8"/>
      <c r="AK190" s="11"/>
      <c r="AL190" s="8">
        <f>IF($H190="","",IFERROR(VLOOKUP($H190,Справочники!$A$8:$B$22,2,0),""))</f>
      </c>
      <c r="AM190" s="8">
        <f>IF($AE190&lt;&gt;"",$AE190,IF(OR($H190="Выиграна",$H190="Договор заключён",$H190="Договор исполняется",$H190="Исполнен/закрыт"),"Выиграна",IF($H190="Проиграна","Проиграна",IF($H190="Отменена заказчиком","Отменена заказчиком",""))))</f>
      </c>
    </row>
    <row r="191" ht="18" customHeight="1" spans="1:39" x14ac:dyDescent="0.25">
      <c r="A191" s="7">
        <f>IF(COUNTA($B191:$K191)=0,"",COUNT($A$2:A190)+1)</f>
      </c>
      <c r="B191" s="8"/>
      <c r="C191" s="8"/>
      <c r="D191" s="8"/>
      <c r="E191" s="9"/>
      <c r="F191" s="10"/>
      <c r="G191" s="11"/>
      <c r="H191" s="8"/>
      <c r="I191" s="8"/>
      <c r="J191" s="8"/>
      <c r="K191" s="8"/>
      <c r="L191" s="8"/>
      <c r="M191" s="8"/>
      <c r="N191" s="12"/>
      <c r="O191" s="10">
        <f>IF($N191="","",IF($M191="Доллары",$N191*Справочники!$B$4,$N191))</f>
      </c>
      <c r="P191" s="8"/>
      <c r="Q191" s="8"/>
      <c r="R191" s="8"/>
      <c r="S191" s="10"/>
      <c r="T191" s="8"/>
      <c r="U191" s="8"/>
      <c r="V191" s="8"/>
      <c r="W191" s="11"/>
      <c r="X191" s="8"/>
      <c r="Y191" s="11"/>
      <c r="Z191" s="10"/>
      <c r="AA191" s="10"/>
      <c r="AB191" s="13">
        <f>IF(OR($Z191="",$AA191="",$Z191=0),"",($Z191-$AA191)/$Z191)</f>
      </c>
      <c r="AC191" s="8"/>
      <c r="AD191" s="11"/>
      <c r="AE191" s="8"/>
      <c r="AF191" s="8"/>
      <c r="AG191" s="8"/>
      <c r="AH191" s="11"/>
      <c r="AI191" s="10"/>
      <c r="AJ191" s="8"/>
      <c r="AK191" s="11"/>
      <c r="AL191" s="8">
        <f>IF($H191="","",IFERROR(VLOOKUP($H191,Справочники!$A$8:$B$22,2,0),""))</f>
      </c>
      <c r="AM191" s="8">
        <f>IF($AE191&lt;&gt;"",$AE191,IF(OR($H191="Выиграна",$H191="Договор заключён",$H191="Договор исполняется",$H191="Исполнен/закрыт"),"Выиграна",IF($H191="Проиграна","Проиграна",IF($H191="Отменена заказчиком","Отменена заказчиком",""))))</f>
      </c>
    </row>
    <row r="192" ht="18" customHeight="1" spans="1:39" x14ac:dyDescent="0.25">
      <c r="A192" s="7">
        <f>IF(COUNTA($B192:$K192)=0,"",COUNT($A$2:A191)+1)</f>
      </c>
      <c r="B192" s="8"/>
      <c r="C192" s="8"/>
      <c r="D192" s="8"/>
      <c r="E192" s="9"/>
      <c r="F192" s="10"/>
      <c r="G192" s="11"/>
      <c r="H192" s="8"/>
      <c r="I192" s="8"/>
      <c r="J192" s="8"/>
      <c r="K192" s="8"/>
      <c r="L192" s="8"/>
      <c r="M192" s="8"/>
      <c r="N192" s="12"/>
      <c r="O192" s="10">
        <f>IF($N192="","",IF($M192="Доллары",$N192*Справочники!$B$4,$N192))</f>
      </c>
      <c r="P192" s="8"/>
      <c r="Q192" s="8"/>
      <c r="R192" s="8"/>
      <c r="S192" s="10"/>
      <c r="T192" s="8"/>
      <c r="U192" s="8"/>
      <c r="V192" s="8"/>
      <c r="W192" s="11"/>
      <c r="X192" s="8"/>
      <c r="Y192" s="11"/>
      <c r="Z192" s="10"/>
      <c r="AA192" s="10"/>
      <c r="AB192" s="13">
        <f>IF(OR($Z192="",$AA192="",$Z192=0),"",($Z192-$AA192)/$Z192)</f>
      </c>
      <c r="AC192" s="8"/>
      <c r="AD192" s="11"/>
      <c r="AE192" s="8"/>
      <c r="AF192" s="8"/>
      <c r="AG192" s="8"/>
      <c r="AH192" s="11"/>
      <c r="AI192" s="10"/>
      <c r="AJ192" s="8"/>
      <c r="AK192" s="11"/>
      <c r="AL192" s="8">
        <f>IF($H192="","",IFERROR(VLOOKUP($H192,Справочники!$A$8:$B$22,2,0),""))</f>
      </c>
      <c r="AM192" s="8">
        <f>IF($AE192&lt;&gt;"",$AE192,IF(OR($H192="Выиграна",$H192="Договор заключён",$H192="Договор исполняется",$H192="Исполнен/закрыт"),"Выиграна",IF($H192="Проиграна","Проиграна",IF($H192="Отменена заказчиком","Отменена заказчиком",""))))</f>
      </c>
    </row>
    <row r="193" ht="18" customHeight="1" spans="1:39" x14ac:dyDescent="0.25">
      <c r="A193" s="7">
        <f>IF(COUNTA($B193:$K193)=0,"",COUNT($A$2:A192)+1)</f>
      </c>
      <c r="B193" s="8"/>
      <c r="C193" s="8"/>
      <c r="D193" s="8"/>
      <c r="E193" s="9"/>
      <c r="F193" s="10"/>
      <c r="G193" s="11"/>
      <c r="H193" s="8"/>
      <c r="I193" s="8"/>
      <c r="J193" s="8"/>
      <c r="K193" s="8"/>
      <c r="L193" s="8"/>
      <c r="M193" s="8"/>
      <c r="N193" s="12"/>
      <c r="O193" s="10">
        <f>IF($N193="","",IF($M193="Доллары",$N193*Справочники!$B$4,$N193))</f>
      </c>
      <c r="P193" s="8"/>
      <c r="Q193" s="8"/>
      <c r="R193" s="8"/>
      <c r="S193" s="10"/>
      <c r="T193" s="8"/>
      <c r="U193" s="8"/>
      <c r="V193" s="8"/>
      <c r="W193" s="11"/>
      <c r="X193" s="8"/>
      <c r="Y193" s="11"/>
      <c r="Z193" s="10"/>
      <c r="AA193" s="10"/>
      <c r="AB193" s="13">
        <f>IF(OR($Z193="",$AA193="",$Z193=0),"",($Z193-$AA193)/$Z193)</f>
      </c>
      <c r="AC193" s="8"/>
      <c r="AD193" s="11"/>
      <c r="AE193" s="8"/>
      <c r="AF193" s="8"/>
      <c r="AG193" s="8"/>
      <c r="AH193" s="11"/>
      <c r="AI193" s="10"/>
      <c r="AJ193" s="8"/>
      <c r="AK193" s="11"/>
      <c r="AL193" s="8">
        <f>IF($H193="","",IFERROR(VLOOKUP($H193,Справочники!$A$8:$B$22,2,0),""))</f>
      </c>
      <c r="AM193" s="8">
        <f>IF($AE193&lt;&gt;"",$AE193,IF(OR($H193="Выиграна",$H193="Договор заключён",$H193="Договор исполняется",$H193="Исполнен/закрыт"),"Выиграна",IF($H193="Проиграна","Проиграна",IF($H193="Отменена заказчиком","Отменена заказчиком",""))))</f>
      </c>
    </row>
    <row r="194" ht="18" customHeight="1" spans="1:39" x14ac:dyDescent="0.25">
      <c r="A194" s="7">
        <f>IF(COUNTA($B194:$K194)=0,"",COUNT($A$2:A193)+1)</f>
      </c>
      <c r="B194" s="8"/>
      <c r="C194" s="8"/>
      <c r="D194" s="8"/>
      <c r="E194" s="9"/>
      <c r="F194" s="10"/>
      <c r="G194" s="11"/>
      <c r="H194" s="8"/>
      <c r="I194" s="8"/>
      <c r="J194" s="8"/>
      <c r="K194" s="8"/>
      <c r="L194" s="8"/>
      <c r="M194" s="8"/>
      <c r="N194" s="12"/>
      <c r="O194" s="10">
        <f>IF($N194="","",IF($M194="Доллары",$N194*Справочники!$B$4,$N194))</f>
      </c>
      <c r="P194" s="8"/>
      <c r="Q194" s="8"/>
      <c r="R194" s="8"/>
      <c r="S194" s="10"/>
      <c r="T194" s="8"/>
      <c r="U194" s="8"/>
      <c r="V194" s="8"/>
      <c r="W194" s="11"/>
      <c r="X194" s="8"/>
      <c r="Y194" s="11"/>
      <c r="Z194" s="10"/>
      <c r="AA194" s="10"/>
      <c r="AB194" s="13">
        <f>IF(OR($Z194="",$AA194="",$Z194=0),"",($Z194-$AA194)/$Z194)</f>
      </c>
      <c r="AC194" s="8"/>
      <c r="AD194" s="11"/>
      <c r="AE194" s="8"/>
      <c r="AF194" s="8"/>
      <c r="AG194" s="8"/>
      <c r="AH194" s="11"/>
      <c r="AI194" s="10"/>
      <c r="AJ194" s="8"/>
      <c r="AK194" s="11"/>
      <c r="AL194" s="8">
        <f>IF($H194="","",IFERROR(VLOOKUP($H194,Справочники!$A$8:$B$22,2,0),""))</f>
      </c>
      <c r="AM194" s="8">
        <f>IF($AE194&lt;&gt;"",$AE194,IF(OR($H194="Выиграна",$H194="Договор заключён",$H194="Договор исполняется",$H194="Исполнен/закрыт"),"Выиграна",IF($H194="Проиграна","Проиграна",IF($H194="Отменена заказчиком","Отменена заказчиком",""))))</f>
      </c>
    </row>
    <row r="195" ht="18" customHeight="1" spans="1:39" x14ac:dyDescent="0.25">
      <c r="A195" s="7">
        <f>IF(COUNTA($B195:$K195)=0,"",COUNT($A$2:A194)+1)</f>
      </c>
      <c r="B195" s="8"/>
      <c r="C195" s="8"/>
      <c r="D195" s="8"/>
      <c r="E195" s="9"/>
      <c r="F195" s="10"/>
      <c r="G195" s="11"/>
      <c r="H195" s="8"/>
      <c r="I195" s="8"/>
      <c r="J195" s="8"/>
      <c r="K195" s="8"/>
      <c r="L195" s="8"/>
      <c r="M195" s="8"/>
      <c r="N195" s="12"/>
      <c r="O195" s="10">
        <f>IF($N195="","",IF($M195="Доллары",$N195*Справочники!$B$4,$N195))</f>
      </c>
      <c r="P195" s="8"/>
      <c r="Q195" s="8"/>
      <c r="R195" s="8"/>
      <c r="S195" s="10"/>
      <c r="T195" s="8"/>
      <c r="U195" s="8"/>
      <c r="V195" s="8"/>
      <c r="W195" s="11"/>
      <c r="X195" s="8"/>
      <c r="Y195" s="11"/>
      <c r="Z195" s="10"/>
      <c r="AA195" s="10"/>
      <c r="AB195" s="13">
        <f>IF(OR($Z195="",$AA195="",$Z195=0),"",($Z195-$AA195)/$Z195)</f>
      </c>
      <c r="AC195" s="8"/>
      <c r="AD195" s="11"/>
      <c r="AE195" s="8"/>
      <c r="AF195" s="8"/>
      <c r="AG195" s="8"/>
      <c r="AH195" s="11"/>
      <c r="AI195" s="10"/>
      <c r="AJ195" s="8"/>
      <c r="AK195" s="11"/>
      <c r="AL195" s="8">
        <f>IF($H195="","",IFERROR(VLOOKUP($H195,Справочники!$A$8:$B$22,2,0),""))</f>
      </c>
      <c r="AM195" s="8">
        <f>IF($AE195&lt;&gt;"",$AE195,IF(OR($H195="Выиграна",$H195="Договор заключён",$H195="Договор исполняется",$H195="Исполнен/закрыт"),"Выиграна",IF($H195="Проиграна","Проиграна",IF($H195="Отменена заказчиком","Отменена заказчиком",""))))</f>
      </c>
    </row>
    <row r="196" ht="18" customHeight="1" spans="1:39" x14ac:dyDescent="0.25">
      <c r="A196" s="7">
        <f>IF(COUNTA($B196:$K196)=0,"",COUNT($A$2:A195)+1)</f>
      </c>
      <c r="B196" s="8"/>
      <c r="C196" s="8"/>
      <c r="D196" s="8"/>
      <c r="E196" s="9"/>
      <c r="F196" s="10"/>
      <c r="G196" s="11"/>
      <c r="H196" s="8"/>
      <c r="I196" s="8"/>
      <c r="J196" s="8"/>
      <c r="K196" s="8"/>
      <c r="L196" s="8"/>
      <c r="M196" s="8"/>
      <c r="N196" s="12"/>
      <c r="O196" s="10">
        <f>IF($N196="","",IF($M196="Доллары",$N196*Справочники!$B$4,$N196))</f>
      </c>
      <c r="P196" s="8"/>
      <c r="Q196" s="8"/>
      <c r="R196" s="8"/>
      <c r="S196" s="10"/>
      <c r="T196" s="8"/>
      <c r="U196" s="8"/>
      <c r="V196" s="8"/>
      <c r="W196" s="11"/>
      <c r="X196" s="8"/>
      <c r="Y196" s="11"/>
      <c r="Z196" s="10"/>
      <c r="AA196" s="10"/>
      <c r="AB196" s="13">
        <f>IF(OR($Z196="",$AA196="",$Z196=0),"",($Z196-$AA196)/$Z196)</f>
      </c>
      <c r="AC196" s="8"/>
      <c r="AD196" s="11"/>
      <c r="AE196" s="8"/>
      <c r="AF196" s="8"/>
      <c r="AG196" s="8"/>
      <c r="AH196" s="11"/>
      <c r="AI196" s="10"/>
      <c r="AJ196" s="8"/>
      <c r="AK196" s="11"/>
      <c r="AL196" s="8">
        <f>IF($H196="","",IFERROR(VLOOKUP($H196,Справочники!$A$8:$B$22,2,0),""))</f>
      </c>
      <c r="AM196" s="8">
        <f>IF($AE196&lt;&gt;"",$AE196,IF(OR($H196="Выиграна",$H196="Договор заключён",$H196="Договор исполняется",$H196="Исполнен/закрыт"),"Выиграна",IF($H196="Проиграна","Проиграна",IF($H196="Отменена заказчиком","Отменена заказчиком",""))))</f>
      </c>
    </row>
    <row r="197" ht="18" customHeight="1" spans="1:39" x14ac:dyDescent="0.25">
      <c r="A197" s="7">
        <f>IF(COUNTA($B197:$K197)=0,"",COUNT($A$2:A196)+1)</f>
      </c>
      <c r="B197" s="8"/>
      <c r="C197" s="8"/>
      <c r="D197" s="8"/>
      <c r="E197" s="9"/>
      <c r="F197" s="10"/>
      <c r="G197" s="11"/>
      <c r="H197" s="8"/>
      <c r="I197" s="8"/>
      <c r="J197" s="8"/>
      <c r="K197" s="8"/>
      <c r="L197" s="8"/>
      <c r="M197" s="8"/>
      <c r="N197" s="12"/>
      <c r="O197" s="10">
        <f>IF($N197="","",IF($M197="Доллары",$N197*Справочники!$B$4,$N197))</f>
      </c>
      <c r="P197" s="8"/>
      <c r="Q197" s="8"/>
      <c r="R197" s="8"/>
      <c r="S197" s="10"/>
      <c r="T197" s="8"/>
      <c r="U197" s="8"/>
      <c r="V197" s="8"/>
      <c r="W197" s="11"/>
      <c r="X197" s="8"/>
      <c r="Y197" s="11"/>
      <c r="Z197" s="10"/>
      <c r="AA197" s="10"/>
      <c r="AB197" s="13">
        <f>IF(OR($Z197="",$AA197="",$Z197=0),"",($Z197-$AA197)/$Z197)</f>
      </c>
      <c r="AC197" s="8"/>
      <c r="AD197" s="11"/>
      <c r="AE197" s="8"/>
      <c r="AF197" s="8"/>
      <c r="AG197" s="8"/>
      <c r="AH197" s="11"/>
      <c r="AI197" s="10"/>
      <c r="AJ197" s="8"/>
      <c r="AK197" s="11"/>
      <c r="AL197" s="8">
        <f>IF($H197="","",IFERROR(VLOOKUP($H197,Справочники!$A$8:$B$22,2,0),""))</f>
      </c>
      <c r="AM197" s="8">
        <f>IF($AE197&lt;&gt;"",$AE197,IF(OR($H197="Выиграна",$H197="Договор заключён",$H197="Договор исполняется",$H197="Исполнен/закрыт"),"Выиграна",IF($H197="Проиграна","Проиграна",IF($H197="Отменена заказчиком","Отменена заказчиком",""))))</f>
      </c>
    </row>
    <row r="198" ht="18" customHeight="1" spans="1:39" x14ac:dyDescent="0.25">
      <c r="A198" s="7">
        <f>IF(COUNTA($B198:$K198)=0,"",COUNT($A$2:A197)+1)</f>
      </c>
      <c r="B198" s="8"/>
      <c r="C198" s="8"/>
      <c r="D198" s="8"/>
      <c r="E198" s="9"/>
      <c r="F198" s="10"/>
      <c r="G198" s="11"/>
      <c r="H198" s="8"/>
      <c r="I198" s="8"/>
      <c r="J198" s="8"/>
      <c r="K198" s="8"/>
      <c r="L198" s="8"/>
      <c r="M198" s="8"/>
      <c r="N198" s="12"/>
      <c r="O198" s="10">
        <f>IF($N198="","",IF($M198="Доллары",$N198*Справочники!$B$4,$N198))</f>
      </c>
      <c r="P198" s="8"/>
      <c r="Q198" s="8"/>
      <c r="R198" s="8"/>
      <c r="S198" s="10"/>
      <c r="T198" s="8"/>
      <c r="U198" s="8"/>
      <c r="V198" s="8"/>
      <c r="W198" s="11"/>
      <c r="X198" s="8"/>
      <c r="Y198" s="11"/>
      <c r="Z198" s="10"/>
      <c r="AA198" s="10"/>
      <c r="AB198" s="13">
        <f>IF(OR($Z198="",$AA198="",$Z198=0),"",($Z198-$AA198)/$Z198)</f>
      </c>
      <c r="AC198" s="8"/>
      <c r="AD198" s="11"/>
      <c r="AE198" s="8"/>
      <c r="AF198" s="8"/>
      <c r="AG198" s="8"/>
      <c r="AH198" s="11"/>
      <c r="AI198" s="10"/>
      <c r="AJ198" s="8"/>
      <c r="AK198" s="11"/>
      <c r="AL198" s="8">
        <f>IF($H198="","",IFERROR(VLOOKUP($H198,Справочники!$A$8:$B$22,2,0),""))</f>
      </c>
      <c r="AM198" s="8">
        <f>IF($AE198&lt;&gt;"",$AE198,IF(OR($H198="Выиграна",$H198="Договор заключён",$H198="Договор исполняется",$H198="Исполнен/закрыт"),"Выиграна",IF($H198="Проиграна","Проиграна",IF($H198="Отменена заказчиком","Отменена заказчиком",""))))</f>
      </c>
    </row>
    <row r="199" ht="18" customHeight="1" spans="1:39" x14ac:dyDescent="0.25">
      <c r="A199" s="7">
        <f>IF(COUNTA($B199:$K199)=0,"",COUNT($A$2:A198)+1)</f>
      </c>
      <c r="B199" s="8"/>
      <c r="C199" s="8"/>
      <c r="D199" s="8"/>
      <c r="E199" s="9"/>
      <c r="F199" s="10"/>
      <c r="G199" s="11"/>
      <c r="H199" s="8"/>
      <c r="I199" s="8"/>
      <c r="J199" s="8"/>
      <c r="K199" s="8"/>
      <c r="L199" s="8"/>
      <c r="M199" s="8"/>
      <c r="N199" s="12"/>
      <c r="O199" s="10">
        <f>IF($N199="","",IF($M199="Доллары",$N199*Справочники!$B$4,$N199))</f>
      </c>
      <c r="P199" s="8"/>
      <c r="Q199" s="8"/>
      <c r="R199" s="8"/>
      <c r="S199" s="10"/>
      <c r="T199" s="8"/>
      <c r="U199" s="8"/>
      <c r="V199" s="8"/>
      <c r="W199" s="11"/>
      <c r="X199" s="8"/>
      <c r="Y199" s="11"/>
      <c r="Z199" s="10"/>
      <c r="AA199" s="10"/>
      <c r="AB199" s="13">
        <f>IF(OR($Z199="",$AA199="",$Z199=0),"",($Z199-$AA199)/$Z199)</f>
      </c>
      <c r="AC199" s="8"/>
      <c r="AD199" s="11"/>
      <c r="AE199" s="8"/>
      <c r="AF199" s="8"/>
      <c r="AG199" s="8"/>
      <c r="AH199" s="11"/>
      <c r="AI199" s="10"/>
      <c r="AJ199" s="8"/>
      <c r="AK199" s="11"/>
      <c r="AL199" s="8">
        <f>IF($H199="","",IFERROR(VLOOKUP($H199,Справочники!$A$8:$B$22,2,0),""))</f>
      </c>
      <c r="AM199" s="8">
        <f>IF($AE199&lt;&gt;"",$AE199,IF(OR($H199="Выиграна",$H199="Договор заключён",$H199="Договор исполняется",$H199="Исполнен/закрыт"),"Выиграна",IF($H199="Проиграна","Проиграна",IF($H199="Отменена заказчиком","Отменена заказчиком",""))))</f>
      </c>
    </row>
    <row r="200" ht="18" customHeight="1" spans="1:39" x14ac:dyDescent="0.25">
      <c r="A200" s="7">
        <f>IF(COUNTA($B200:$K200)=0,"",COUNT($A$2:A199)+1)</f>
      </c>
      <c r="B200" s="8"/>
      <c r="C200" s="8"/>
      <c r="D200" s="8"/>
      <c r="E200" s="9"/>
      <c r="F200" s="10"/>
      <c r="G200" s="11"/>
      <c r="H200" s="8"/>
      <c r="I200" s="8"/>
      <c r="J200" s="8"/>
      <c r="K200" s="8"/>
      <c r="L200" s="8"/>
      <c r="M200" s="8"/>
      <c r="N200" s="12"/>
      <c r="O200" s="10">
        <f>IF($N200="","",IF($M200="Доллары",$N200*Справочники!$B$4,$N200))</f>
      </c>
      <c r="P200" s="8"/>
      <c r="Q200" s="8"/>
      <c r="R200" s="8"/>
      <c r="S200" s="10"/>
      <c r="T200" s="8"/>
      <c r="U200" s="8"/>
      <c r="V200" s="8"/>
      <c r="W200" s="11"/>
      <c r="X200" s="8"/>
      <c r="Y200" s="11"/>
      <c r="Z200" s="10"/>
      <c r="AA200" s="10"/>
      <c r="AB200" s="13">
        <f>IF(OR($Z200="",$AA200="",$Z200=0),"",($Z200-$AA200)/$Z200)</f>
      </c>
      <c r="AC200" s="8"/>
      <c r="AD200" s="11"/>
      <c r="AE200" s="8"/>
      <c r="AF200" s="8"/>
      <c r="AG200" s="8"/>
      <c r="AH200" s="11"/>
      <c r="AI200" s="10"/>
      <c r="AJ200" s="8"/>
      <c r="AK200" s="11"/>
      <c r="AL200" s="8">
        <f>IF($H200="","",IFERROR(VLOOKUP($H200,Справочники!$A$8:$B$22,2,0),""))</f>
      </c>
      <c r="AM200" s="8">
        <f>IF($AE200&lt;&gt;"",$AE200,IF(OR($H200="Выиграна",$H200="Договор заключён",$H200="Договор исполняется",$H200="Исполнен/закрыт"),"Выиграна",IF($H200="Проиграна","Проиграна",IF($H200="Отменена заказчиком","Отменена заказчиком",""))))</f>
      </c>
    </row>
    <row r="201" ht="18" customHeight="1" spans="1:39" x14ac:dyDescent="0.25">
      <c r="A201" s="7">
        <f>IF(COUNTA($B201:$K201)=0,"",COUNT($A$2:A200)+1)</f>
      </c>
      <c r="B201" s="8"/>
      <c r="C201" s="8"/>
      <c r="D201" s="8"/>
      <c r="E201" s="9"/>
      <c r="F201" s="10"/>
      <c r="G201" s="11"/>
      <c r="H201" s="8"/>
      <c r="I201" s="8"/>
      <c r="J201" s="8"/>
      <c r="K201" s="8"/>
      <c r="L201" s="8"/>
      <c r="M201" s="8"/>
      <c r="N201" s="12"/>
      <c r="O201" s="10">
        <f>IF($N201="","",IF($M201="Доллары",$N201*Справочники!$B$4,$N201))</f>
      </c>
      <c r="P201" s="8"/>
      <c r="Q201" s="8"/>
      <c r="R201" s="8"/>
      <c r="S201" s="10"/>
      <c r="T201" s="8"/>
      <c r="U201" s="8"/>
      <c r="V201" s="8"/>
      <c r="W201" s="11"/>
      <c r="X201" s="8"/>
      <c r="Y201" s="11"/>
      <c r="Z201" s="10"/>
      <c r="AA201" s="10"/>
      <c r="AB201" s="13">
        <f>IF(OR($Z201="",$AA201="",$Z201=0),"",($Z201-$AA201)/$Z201)</f>
      </c>
      <c r="AC201" s="8"/>
      <c r="AD201" s="11"/>
      <c r="AE201" s="8"/>
      <c r="AF201" s="8"/>
      <c r="AG201" s="8"/>
      <c r="AH201" s="11"/>
      <c r="AI201" s="10"/>
      <c r="AJ201" s="8"/>
      <c r="AK201" s="11"/>
      <c r="AL201" s="8">
        <f>IF($H201="","",IFERROR(VLOOKUP($H201,Справочники!$A$8:$B$22,2,0),""))</f>
      </c>
      <c r="AM201" s="8">
        <f>IF($AE201&lt;&gt;"",$AE201,IF(OR($H201="Выиграна",$H201="Договор заключён",$H201="Договор исполняется",$H201="Исполнен/закрыт"),"Выиграна",IF($H201="Проиграна","Проиграна",IF($H201="Отменена заказчиком","Отменена заказчиком",""))))</f>
      </c>
    </row>
    <row r="202" ht="18" customHeight="1" spans="1:39" x14ac:dyDescent="0.25">
      <c r="A202" s="7">
        <f>IF(COUNTA($B202:$K202)=0,"",COUNT($A$2:A201)+1)</f>
      </c>
      <c r="B202" s="8"/>
      <c r="C202" s="8"/>
      <c r="D202" s="8"/>
      <c r="E202" s="9"/>
      <c r="F202" s="10"/>
      <c r="G202" s="11"/>
      <c r="H202" s="8"/>
      <c r="I202" s="8"/>
      <c r="J202" s="8"/>
      <c r="K202" s="8"/>
      <c r="L202" s="8"/>
      <c r="M202" s="8"/>
      <c r="N202" s="12"/>
      <c r="O202" s="10">
        <f>IF($N202="","",IF($M202="Доллары",$N202*Справочники!$B$4,$N202))</f>
      </c>
      <c r="P202" s="8"/>
      <c r="Q202" s="8"/>
      <c r="R202" s="8"/>
      <c r="S202" s="10"/>
      <c r="T202" s="8"/>
      <c r="U202" s="8"/>
      <c r="V202" s="8"/>
      <c r="W202" s="11"/>
      <c r="X202" s="8"/>
      <c r="Y202" s="11"/>
      <c r="Z202" s="10"/>
      <c r="AA202" s="10"/>
      <c r="AB202" s="13">
        <f>IF(OR($Z202="",$AA202="",$Z202=0),"",($Z202-$AA202)/$Z202)</f>
      </c>
      <c r="AC202" s="8"/>
      <c r="AD202" s="11"/>
      <c r="AE202" s="8"/>
      <c r="AF202" s="8"/>
      <c r="AG202" s="8"/>
      <c r="AH202" s="11"/>
      <c r="AI202" s="10"/>
      <c r="AJ202" s="8"/>
      <c r="AK202" s="11"/>
      <c r="AL202" s="8">
        <f>IF($H202="","",IFERROR(VLOOKUP($H202,Справочники!$A$8:$B$22,2,0),""))</f>
      </c>
      <c r="AM202" s="8">
        <f>IF($AE202&lt;&gt;"",$AE202,IF(OR($H202="Выиграна",$H202="Договор заключён",$H202="Договор исполняется",$H202="Исполнен/закрыт"),"Выиграна",IF($H202="Проиграна","Проиграна",IF($H202="Отменена заказчиком","Отменена заказчиком",""))))</f>
      </c>
    </row>
  </sheetData>
  <autoFilter ref="A2:AM2"/>
  <mergeCells count="5">
    <mergeCell ref="A1:K1"/>
    <mergeCell ref="L1:U1"/>
    <mergeCell ref="V1:X1"/>
    <mergeCell ref="Y1:AK1"/>
    <mergeCell ref="AL1:AM1"/>
  </mergeCells>
  <conditionalFormatting sqref="G3:G202">
    <cfRule type="expression" dxfId="0" priority="1">
      <formula>AND($G3&lt;&gt;"",$V3&lt;&gt;"Подана",$G3-TODAY()&lt;3)</formula>
    </cfRule>
  </conditionalFormatting>
  <conditionalFormatting sqref="S3:S202">
    <cfRule type="expression" dxfId="1" priority="2">
      <formula>AND($R3="Нужно",$S3="")</formula>
    </cfRule>
  </conditionalFormatting>
  <conditionalFormatting sqref="X3:X202">
    <cfRule type="expression" dxfId="2" priority="3">
      <formula>AND($V3="Подана",$X3="")</formula>
    </cfRule>
  </conditionalFormatting>
  <conditionalFormatting sqref="Y3:Y202">
    <cfRule type="expression" dxfId="3" priority="4">
      <formula>AND($H3="Переторжка",$Y3="")</formula>
    </cfRule>
  </conditionalFormatting>
  <conditionalFormatting sqref="AF3:AF202">
    <cfRule type="expression" dxfId="4" priority="5">
      <formula>AND(OR(IF($H3="",$AE3,$H3)="Проиграна",IF($H3="",$AE3,$H3)="Отменена заказчиком",IF($H3="",$AE3,$H3)="Не участвуем"),$AF3="")</formula>
    </cfRule>
  </conditionalFormatting>
  <conditionalFormatting sqref="A3:AK202">
    <cfRule type="expression" dxfId="5" priority="6">
      <formula>OR(IF($H3="",$AE3,$H3)="Новая",IF($H3="",$AE3,$H3)="На рассмотрении")</formula>
    </cfRule>
  </conditionalFormatting>
  <conditionalFormatting sqref="A3:AK202">
    <cfRule type="expression" dxfId="6" priority="7">
      <formula>OR(IF($H3="",$AE3,$H3)="Не участвуем",IF($H3="",$AE3,$H3)="Проиграна",IF($H3="",$AE3,$H3)="Отменена заказчиком")</formula>
    </cfRule>
  </conditionalFormatting>
  <conditionalFormatting sqref="A3:AK202">
    <cfRule type="expression" dxfId="7" priority="8">
      <formula>OR(IF($H3="",$AE3,$H3)="Взята в работу",IF($H3="",$AE3,$H3)="Готовится заявка",IF($H3="",$AE3,$H3)="Заявка подана")</formula>
    </cfRule>
  </conditionalFormatting>
  <conditionalFormatting sqref="A3:AK202">
    <cfRule type="expression" dxfId="8" priority="9">
      <formula>OR(IF($H3="",$AE3,$H3)="Переговоры",IF($H3="",$AE3,$H3)="Переторжка",IF($H3="",$AE3,$H3)="Работа комиссии")</formula>
    </cfRule>
  </conditionalFormatting>
  <conditionalFormatting sqref="A3:AK202">
    <cfRule type="expression" dxfId="9" priority="10">
      <formula>OR(IF($H3="",$AE3,$H3)="Выиграна",IF($H3="",$AE3,$H3)="Договор заключён",IF($H3="",$AE3,$H3)="Договор исполняется",IF($H3="",$AE3,$H3)="Исполнен/закрыт")</formula>
    </cfRule>
  </conditionalFormatting>
  <dataValidations count="19">
    <dataValidation type="list" allowBlank="1" showErrorMessage="1" errorStyle="stop" errorTitle="Значение не из списка" error="Выберите значение из выпадающего списка." sqref="AC3:AC202">
      <formula1>Справочники!$A$96:$A$98</formula1>
    </dataValidation>
    <dataValidation type="list" allowBlank="1" showErrorMessage="1" errorStyle="stop" errorTitle="Значение не из списка" error="Выберите значение из выпадающего списка." sqref="AE3:AE202">
      <formula1>Справочники!$A$56:$A$58</formula1>
    </dataValidation>
    <dataValidation type="list" allowBlank="1" showErrorMessage="1" errorStyle="stop" errorTitle="Значение не из списка" error="Выберите значение из выпадающего списка." sqref="AF3:AF202">
      <formula1>Причины</formula1>
    </dataValidation>
    <dataValidation type="list" allowBlank="1" showErrorMessage="1" errorStyle="stop" errorTitle="Значение не из списка" error="Выберите значение из выпадающего списка." sqref="AJ3:AJ202">
      <formula1>Справочники!$A$82:$A$86</formula1>
    </dataValidation>
    <dataValidation type="list" allowBlank="1" showErrorMessage="1" errorStyle="stop" errorTitle="Значение не из списка" error="Выберите значение из выпадающего списка." sqref="B3:B202">
      <formula1>Справочники!$A$25:$A$26</formula1>
    </dataValidation>
    <dataValidation type="list" allowBlank="1" showErrorMessage="1" errorStyle="stop" errorTitle="Только из справочника" error="Название заказчика вписывать руками нельзя. Выберите из выпадающего списка. Нужного названия нет — сначала добавьте его на лист «Заказчики»." sqref="D3:D202">
      <formula1>Заказчики_Названия</formula1>
    </dataValidation>
    <dataValidation type="list" allowBlank="1" showErrorMessage="1" errorStyle="stop" errorTitle="Значение не из списка" error="Выберите значение из выпадающего списка." sqref="H3:H202">
      <formula1>Справочники!$A$8:$A$22</formula1>
    </dataValidation>
    <dataValidation type="list" allowBlank="1" showErrorMessage="1" errorStyle="stop" errorTitle="Значение не из списка" error="Выберите значение из выпадающего списка." sqref="I3:I202">
      <formula1>Справочники!$A$61:$A$63</formula1>
    </dataValidation>
    <dataValidation type="list" allowBlank="1" showErrorMessage="1" errorStyle="stop" errorTitle="Значение не из списка" error="Выберите значение из выпадающего списка." sqref="K3:K202">
      <formula1>Справочники!$A$96:$A$98</formula1>
    </dataValidation>
    <dataValidation type="list" allowBlank="1" showErrorMessage="1" errorStyle="stop" errorTitle="Значение не из списка" error="Выберите значение из выпадающего списка." sqref="L3:L202">
      <formula1>Справочники!$A$33:$A$37</formula1>
    </dataValidation>
    <dataValidation type="list" allowBlank="1" showErrorMessage="1" errorStyle="stop" errorTitle="Значение не из списка" error="Выберите значение из выпадающего списка." sqref="M3:M202">
      <formula1>Справочники!$A$29:$A$30</formula1>
    </dataValidation>
    <dataValidation type="list" allowBlank="1" showErrorMessage="1" errorStyle="stop" errorTitle="Только из справочника" error="Название поставщика вписывать руками нельзя. Выберите из выпадающего списка. Нужного названия нет — сначала добавьте его на лист «Поставщики»." sqref="P3:P202">
      <formula1>Поставщики_Названия</formula1>
    </dataValidation>
    <dataValidation type="list" allowBlank="1" showErrorMessage="1" errorStyle="stop" errorTitle="Значение не из списка" error="Выберите значение из выпадающего списка." sqref="Q3:Q202">
      <formula1>Справочники!$A$96:$A$98</formula1>
    </dataValidation>
    <dataValidation type="list" allowBlank="1" showErrorMessage="1" errorStyle="stop" errorTitle="Значение не из списка" error="Выберите значение из выпадающего списка." sqref="R3:R202">
      <formula1>Справочники!$A$40:$A$41</formula1>
    </dataValidation>
    <dataValidation type="custom" showErrorMessage="1" errorStyle="stop" errorTitle="Нужна сумма обеспечения" error="В строке указано «Обеспечение заявки: Нужно» — впишите сумму обеспечения числом больше нуля." sqref="S3:S202">
      <formula1>IF($R3="Нужно",AND(ISNUMBER($S3),$S3&gt;0),TRUE())</formula1>
    </dataValidation>
    <dataValidation type="list" allowBlank="1" showErrorMessage="1" errorStyle="stop" errorTitle="Значение не из списка" error="Выберите значение из выпадающего списка." sqref="T3:T202">
      <formula1>Справочники!$A$44:$A$47</formula1>
    </dataValidation>
    <dataValidation type="list" allowBlank="1" showErrorMessage="1" errorStyle="stop" errorTitle="Значение не из списка" error="Выберите значение из выпадающего списка." sqref="V3:V202">
      <formula1>Справочники!$A$50:$A$53</formula1>
    </dataValidation>
    <dataValidation type="custom" showErrorMessage="1" errorStyle="stop" errorTitle="Нужна ссылка на заявку" error="Заявка помечена как поданная — вставьте ссылку на неё на площадке." sqref="X3:X202">
      <formula1>IF($V3="Подана",LEN($X3)&gt;0,TRUE())</formula1>
    </dataValidation>
    <dataValidation type="custom" showErrorMessage="1" errorStyle="stop" errorTitle="Нужна дата переторжки" error="При статусе «Переторжка» дата переторжки обязательна. Введите дату в виде 25.08.2026." sqref="Y3:Y202">
      <formula1>IF($H3="Переторжка",ISNUMBER($Y3),OR($Y3="",ISNUMBER($Y3)))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style="14" customWidth="1"/>
    <col min="2" max="2" width="34" customWidth="1"/>
    <col min="3" max="3" width="42" customWidth="1"/>
    <col min="4" max="4" width="24" customWidth="1"/>
    <col min="5" max="5" width="18" customWidth="1"/>
    <col min="6" max="6" width="26" customWidth="1"/>
    <col min="7" max="7" width="22" customWidth="1"/>
  </cols>
  <sheetData>
    <row r="1" ht="22" customHeight="1" spans="1:1" x14ac:dyDescent="0.25">
      <c r="A1" s="15" t="s">
        <v>115</v>
      </c>
    </row>
    <row r="2" ht="16" customHeight="1" spans="1:1" x14ac:dyDescent="0.25">
      <c r="A2" s="16" t="s">
        <v>116</v>
      </c>
    </row>
    <row r="3" spans="1:1" x14ac:dyDescent="0.25">
      <c r="A3" s="16" t="s">
        <v>117</v>
      </c>
    </row>
    <row r="4" ht="32" customHeight="1" spans="1:7" x14ac:dyDescent="0.25">
      <c r="A4" s="17" t="s">
        <v>118</v>
      </c>
      <c r="B4" s="6" t="s">
        <v>119</v>
      </c>
      <c r="C4" s="6" t="s">
        <v>120</v>
      </c>
      <c r="D4" s="6" t="s">
        <v>121</v>
      </c>
      <c r="E4" s="6" t="s">
        <v>122</v>
      </c>
      <c r="F4" s="6" t="s">
        <v>123</v>
      </c>
      <c r="G4" s="6" t="s">
        <v>124</v>
      </c>
    </row>
    <row r="5" ht="17" customHeight="1" spans="1:7" x14ac:dyDescent="0.25">
      <c r="A5" s="18" t="s">
        <v>125</v>
      </c>
      <c r="B5" s="19" t="s">
        <v>46</v>
      </c>
      <c r="C5" s="8" t="s">
        <v>126</v>
      </c>
      <c r="D5" s="8" t="s">
        <v>127</v>
      </c>
      <c r="E5" s="8" t="s">
        <v>128</v>
      </c>
      <c r="F5" s="8" t="s">
        <v>129</v>
      </c>
      <c r="G5" s="8" t="s">
        <v>130</v>
      </c>
    </row>
    <row r="6" ht="17" customHeight="1" spans="1:7" x14ac:dyDescent="0.25">
      <c r="A6" s="18" t="s">
        <v>131</v>
      </c>
      <c r="B6" s="19" t="s">
        <v>132</v>
      </c>
      <c r="C6" s="8" t="s">
        <v>133</v>
      </c>
      <c r="D6" s="8" t="s">
        <v>134</v>
      </c>
      <c r="E6" s="8" t="s">
        <v>135</v>
      </c>
      <c r="F6" s="8" t="s">
        <v>136</v>
      </c>
      <c r="G6" s="8" t="s">
        <v>137</v>
      </c>
    </row>
    <row r="7" ht="17" customHeight="1" spans="1:7" x14ac:dyDescent="0.25">
      <c r="A7" s="18" t="s">
        <v>138</v>
      </c>
      <c r="B7" s="19" t="s">
        <v>139</v>
      </c>
      <c r="C7" s="8" t="s">
        <v>140</v>
      </c>
      <c r="D7" s="8" t="s">
        <v>141</v>
      </c>
      <c r="E7" s="8" t="s">
        <v>142</v>
      </c>
      <c r="F7" s="8" t="s">
        <v>143</v>
      </c>
      <c r="G7" s="8" t="s">
        <v>144</v>
      </c>
    </row>
    <row r="8" ht="17" customHeight="1" spans="1:7" x14ac:dyDescent="0.25">
      <c r="A8" s="18" t="s">
        <v>145</v>
      </c>
      <c r="B8" s="19" t="s">
        <v>54</v>
      </c>
      <c r="C8" s="8" t="s">
        <v>146</v>
      </c>
      <c r="D8" s="8" t="s">
        <v>147</v>
      </c>
      <c r="E8" s="8" t="s">
        <v>148</v>
      </c>
      <c r="F8" s="8" t="s">
        <v>149</v>
      </c>
      <c r="G8" s="8" t="s">
        <v>150</v>
      </c>
    </row>
    <row r="9" ht="17" customHeight="1" spans="1:7" x14ac:dyDescent="0.25">
      <c r="A9" s="18" t="s">
        <v>151</v>
      </c>
      <c r="B9" s="19" t="s">
        <v>66</v>
      </c>
      <c r="C9" s="8" t="s">
        <v>152</v>
      </c>
      <c r="D9" s="8" t="s">
        <v>153</v>
      </c>
      <c r="E9" s="8" t="s">
        <v>154</v>
      </c>
      <c r="F9" s="8" t="s">
        <v>155</v>
      </c>
      <c r="G9" s="8" t="s">
        <v>156</v>
      </c>
    </row>
    <row r="10" ht="17" customHeight="1" spans="1:7" x14ac:dyDescent="0.25">
      <c r="A10" s="18" t="s">
        <v>157</v>
      </c>
      <c r="B10" s="19" t="s">
        <v>79</v>
      </c>
      <c r="C10" s="8" t="s">
        <v>158</v>
      </c>
      <c r="D10" s="8" t="s">
        <v>159</v>
      </c>
      <c r="E10" s="8" t="s">
        <v>160</v>
      </c>
      <c r="F10" s="8" t="s">
        <v>161</v>
      </c>
      <c r="G10" s="8" t="s">
        <v>162</v>
      </c>
    </row>
    <row r="11" ht="17" customHeight="1" spans="1:7" x14ac:dyDescent="0.25">
      <c r="A11" s="18"/>
      <c r="B11" s="19"/>
      <c r="C11" s="8"/>
      <c r="D11" s="8"/>
      <c r="E11" s="8"/>
      <c r="F11" s="8"/>
      <c r="G11" s="8"/>
    </row>
    <row r="12" ht="17" customHeight="1" spans="1:7" x14ac:dyDescent="0.25">
      <c r="A12" s="18"/>
      <c r="B12" s="19"/>
      <c r="C12" s="8"/>
      <c r="D12" s="8"/>
      <c r="E12" s="8"/>
      <c r="F12" s="8"/>
      <c r="G12" s="8"/>
    </row>
    <row r="13" ht="17" customHeight="1" spans="1:7" x14ac:dyDescent="0.25">
      <c r="A13" s="18"/>
      <c r="B13" s="19"/>
      <c r="C13" s="8"/>
      <c r="D13" s="8"/>
      <c r="E13" s="8"/>
      <c r="F13" s="8"/>
      <c r="G13" s="8"/>
    </row>
    <row r="14" ht="17" customHeight="1" spans="1:7" x14ac:dyDescent="0.25">
      <c r="A14" s="18"/>
      <c r="B14" s="19"/>
      <c r="C14" s="8"/>
      <c r="D14" s="8"/>
      <c r="E14" s="8"/>
      <c r="F14" s="8"/>
      <c r="G14" s="8"/>
    </row>
    <row r="15" ht="17" customHeight="1" spans="1:7" x14ac:dyDescent="0.25">
      <c r="A15" s="18"/>
      <c r="B15" s="19"/>
      <c r="C15" s="8"/>
      <c r="D15" s="8"/>
      <c r="E15" s="8"/>
      <c r="F15" s="8"/>
      <c r="G15" s="8"/>
    </row>
    <row r="16" ht="17" customHeight="1" spans="1:7" x14ac:dyDescent="0.25">
      <c r="A16" s="18"/>
      <c r="B16" s="19"/>
      <c r="C16" s="8"/>
      <c r="D16" s="8"/>
      <c r="E16" s="8"/>
      <c r="F16" s="8"/>
      <c r="G16" s="8"/>
    </row>
    <row r="17" ht="17" customHeight="1" spans="1:7" x14ac:dyDescent="0.25">
      <c r="A17" s="18"/>
      <c r="B17" s="19"/>
      <c r="C17" s="8"/>
      <c r="D17" s="8"/>
      <c r="E17" s="8"/>
      <c r="F17" s="8"/>
      <c r="G17" s="8"/>
    </row>
    <row r="18" ht="17" customHeight="1" spans="1:7" x14ac:dyDescent="0.25">
      <c r="A18" s="18"/>
      <c r="B18" s="19"/>
      <c r="C18" s="8"/>
      <c r="D18" s="8"/>
      <c r="E18" s="8"/>
      <c r="F18" s="8"/>
      <c r="G18" s="8"/>
    </row>
    <row r="19" ht="17" customHeight="1" spans="1:7" x14ac:dyDescent="0.25">
      <c r="A19" s="18"/>
      <c r="B19" s="19"/>
      <c r="C19" s="8"/>
      <c r="D19" s="8"/>
      <c r="E19" s="8"/>
      <c r="F19" s="8"/>
      <c r="G19" s="8"/>
    </row>
    <row r="20" ht="17" customHeight="1" spans="1:7" x14ac:dyDescent="0.25">
      <c r="A20" s="18"/>
      <c r="B20" s="19"/>
      <c r="C20" s="8"/>
      <c r="D20" s="8"/>
      <c r="E20" s="8"/>
      <c r="F20" s="8"/>
      <c r="G20" s="8"/>
    </row>
    <row r="21" ht="17" customHeight="1" spans="1:7" x14ac:dyDescent="0.25">
      <c r="A21" s="18"/>
      <c r="B21" s="19"/>
      <c r="C21" s="8"/>
      <c r="D21" s="8"/>
      <c r="E21" s="8"/>
      <c r="F21" s="8"/>
      <c r="G21" s="8"/>
    </row>
    <row r="22" ht="17" customHeight="1" spans="1:7" x14ac:dyDescent="0.25">
      <c r="A22" s="18"/>
      <c r="B22" s="19"/>
      <c r="C22" s="8"/>
      <c r="D22" s="8"/>
      <c r="E22" s="8"/>
      <c r="F22" s="8"/>
      <c r="G22" s="8"/>
    </row>
    <row r="23" ht="17" customHeight="1" spans="1:7" x14ac:dyDescent="0.25">
      <c r="A23" s="18"/>
      <c r="B23" s="19"/>
      <c r="C23" s="8"/>
      <c r="D23" s="8"/>
      <c r="E23" s="8"/>
      <c r="F23" s="8"/>
      <c r="G23" s="8"/>
    </row>
    <row r="24" ht="17" customHeight="1" spans="1:7" x14ac:dyDescent="0.25">
      <c r="A24" s="18"/>
      <c r="B24" s="19"/>
      <c r="C24" s="8"/>
      <c r="D24" s="8"/>
      <c r="E24" s="8"/>
      <c r="F24" s="8"/>
      <c r="G24" s="8"/>
    </row>
    <row r="25" ht="17" customHeight="1" spans="1:7" x14ac:dyDescent="0.25">
      <c r="A25" s="18"/>
      <c r="B25" s="19"/>
      <c r="C25" s="8"/>
      <c r="D25" s="8"/>
      <c r="E25" s="8"/>
      <c r="F25" s="8"/>
      <c r="G25" s="8"/>
    </row>
    <row r="26" ht="17" customHeight="1" spans="1:7" x14ac:dyDescent="0.25">
      <c r="A26" s="18"/>
      <c r="B26" s="19"/>
      <c r="C26" s="8"/>
      <c r="D26" s="8"/>
      <c r="E26" s="8"/>
      <c r="F26" s="8"/>
      <c r="G26" s="8"/>
    </row>
    <row r="27" ht="17" customHeight="1" spans="1:7" x14ac:dyDescent="0.25">
      <c r="A27" s="18"/>
      <c r="B27" s="19"/>
      <c r="C27" s="8"/>
      <c r="D27" s="8"/>
      <c r="E27" s="8"/>
      <c r="F27" s="8"/>
      <c r="G27" s="8"/>
    </row>
    <row r="28" ht="17" customHeight="1" spans="1:7" x14ac:dyDescent="0.25">
      <c r="A28" s="18"/>
      <c r="B28" s="19"/>
      <c r="C28" s="8"/>
      <c r="D28" s="8"/>
      <c r="E28" s="8"/>
      <c r="F28" s="8"/>
      <c r="G28" s="8"/>
    </row>
    <row r="29" ht="17" customHeight="1" spans="1:7" x14ac:dyDescent="0.25">
      <c r="A29" s="18"/>
      <c r="B29" s="19"/>
      <c r="C29" s="8"/>
      <c r="D29" s="8"/>
      <c r="E29" s="8"/>
      <c r="F29" s="8"/>
      <c r="G29" s="8"/>
    </row>
    <row r="30" ht="17" customHeight="1" spans="1:7" x14ac:dyDescent="0.25">
      <c r="A30" s="18"/>
      <c r="B30" s="19"/>
      <c r="C30" s="8"/>
      <c r="D30" s="8"/>
      <c r="E30" s="8"/>
      <c r="F30" s="8"/>
      <c r="G30" s="8"/>
    </row>
    <row r="31" ht="17" customHeight="1" spans="1:7" x14ac:dyDescent="0.25">
      <c r="A31" s="18"/>
      <c r="B31" s="19"/>
      <c r="C31" s="8"/>
      <c r="D31" s="8"/>
      <c r="E31" s="8"/>
      <c r="F31" s="8"/>
      <c r="G31" s="8"/>
    </row>
    <row r="32" ht="17" customHeight="1" spans="1:7" x14ac:dyDescent="0.25">
      <c r="A32" s="18"/>
      <c r="B32" s="19"/>
      <c r="C32" s="8"/>
      <c r="D32" s="8"/>
      <c r="E32" s="8"/>
      <c r="F32" s="8"/>
      <c r="G32" s="8"/>
    </row>
    <row r="33" ht="17" customHeight="1" spans="1:7" x14ac:dyDescent="0.25">
      <c r="A33" s="18"/>
      <c r="B33" s="19"/>
      <c r="C33" s="8"/>
      <c r="D33" s="8"/>
      <c r="E33" s="8"/>
      <c r="F33" s="8"/>
      <c r="G33" s="8"/>
    </row>
    <row r="34" ht="17" customHeight="1" spans="1:7" x14ac:dyDescent="0.25">
      <c r="A34" s="18"/>
      <c r="B34" s="19"/>
      <c r="C34" s="8"/>
      <c r="D34" s="8"/>
      <c r="E34" s="8"/>
      <c r="F34" s="8"/>
      <c r="G34" s="8"/>
    </row>
  </sheetData>
  <autoFilter ref="A4:G4"/>
  <conditionalFormatting sqref="B5:B154">
    <cfRule type="expression" dxfId="10" priority="1">
      <formula>AND($A5&lt;&gt;"",$B5="")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style="14" customWidth="1"/>
    <col min="2" max="2" width="34" customWidth="1"/>
    <col min="3" max="3" width="30" customWidth="1"/>
    <col min="4" max="4" width="42" customWidth="1"/>
    <col min="5" max="5" width="24" customWidth="1"/>
    <col min="6" max="6" width="18" customWidth="1"/>
    <col min="7" max="7" width="26" customWidth="1"/>
    <col min="8" max="8" width="22" customWidth="1"/>
  </cols>
  <sheetData>
    <row r="1" ht="22" customHeight="1" spans="1:1" x14ac:dyDescent="0.25">
      <c r="A1" s="15" t="s">
        <v>163</v>
      </c>
    </row>
    <row r="2" ht="16" customHeight="1" spans="1:1" x14ac:dyDescent="0.25">
      <c r="A2" s="16" t="s">
        <v>164</v>
      </c>
    </row>
    <row r="3" spans="1:1" x14ac:dyDescent="0.25">
      <c r="A3" s="16" t="s">
        <v>117</v>
      </c>
    </row>
    <row r="4" ht="32" customHeight="1" spans="1:8" x14ac:dyDescent="0.25">
      <c r="A4" s="17" t="s">
        <v>118</v>
      </c>
      <c r="B4" s="6" t="s">
        <v>119</v>
      </c>
      <c r="C4" s="6" t="s">
        <v>165</v>
      </c>
      <c r="D4" s="6" t="s">
        <v>120</v>
      </c>
      <c r="E4" s="6" t="s">
        <v>121</v>
      </c>
      <c r="F4" s="6" t="s">
        <v>122</v>
      </c>
      <c r="G4" s="6" t="s">
        <v>123</v>
      </c>
      <c r="H4" s="6" t="s">
        <v>124</v>
      </c>
    </row>
    <row r="5" ht="17" customHeight="1" spans="1:8" x14ac:dyDescent="0.25">
      <c r="A5" s="18" t="s">
        <v>166</v>
      </c>
      <c r="B5" s="19" t="s">
        <v>93</v>
      </c>
      <c r="C5" s="8" t="s">
        <v>167</v>
      </c>
      <c r="D5" s="8" t="s">
        <v>168</v>
      </c>
      <c r="E5" s="8" t="s">
        <v>169</v>
      </c>
      <c r="F5" s="8" t="s">
        <v>170</v>
      </c>
      <c r="G5" s="8" t="s">
        <v>171</v>
      </c>
      <c r="H5" s="8" t="s">
        <v>130</v>
      </c>
    </row>
    <row r="6" ht="17" customHeight="1" spans="1:8" x14ac:dyDescent="0.25">
      <c r="A6" s="18" t="s">
        <v>172</v>
      </c>
      <c r="B6" s="19" t="s">
        <v>101</v>
      </c>
      <c r="C6" s="8" t="s">
        <v>173</v>
      </c>
      <c r="D6" s="8" t="s">
        <v>174</v>
      </c>
      <c r="E6" s="8" t="s">
        <v>175</v>
      </c>
      <c r="F6" s="8" t="s">
        <v>176</v>
      </c>
      <c r="G6" s="8" t="s">
        <v>177</v>
      </c>
      <c r="H6" s="8" t="s">
        <v>137</v>
      </c>
    </row>
    <row r="7" ht="17" customHeight="1" spans="1:8" x14ac:dyDescent="0.25">
      <c r="A7" s="18" t="s">
        <v>178</v>
      </c>
      <c r="B7" s="19" t="s">
        <v>179</v>
      </c>
      <c r="C7" s="8" t="s">
        <v>180</v>
      </c>
      <c r="D7" s="8" t="s">
        <v>181</v>
      </c>
      <c r="E7" s="8" t="s">
        <v>182</v>
      </c>
      <c r="F7" s="8" t="s">
        <v>183</v>
      </c>
      <c r="G7" s="8" t="s">
        <v>184</v>
      </c>
      <c r="H7" s="8" t="s">
        <v>185</v>
      </c>
    </row>
    <row r="8" ht="17" customHeight="1" spans="1:8" x14ac:dyDescent="0.25">
      <c r="A8" s="18" t="s">
        <v>186</v>
      </c>
      <c r="B8" s="19" t="s">
        <v>61</v>
      </c>
      <c r="C8" s="8" t="s">
        <v>187</v>
      </c>
      <c r="D8" s="8" t="s">
        <v>188</v>
      </c>
      <c r="E8" s="8" t="s">
        <v>189</v>
      </c>
      <c r="F8" s="8" t="s">
        <v>190</v>
      </c>
      <c r="G8" s="8" t="s">
        <v>191</v>
      </c>
      <c r="H8" s="8" t="s">
        <v>192</v>
      </c>
    </row>
    <row r="9" ht="17" customHeight="1" spans="1:8" x14ac:dyDescent="0.25">
      <c r="A9" s="18" t="s">
        <v>193</v>
      </c>
      <c r="B9" s="19" t="s">
        <v>73</v>
      </c>
      <c r="C9" s="8" t="s">
        <v>194</v>
      </c>
      <c r="D9" s="8" t="s">
        <v>195</v>
      </c>
      <c r="E9" s="8" t="s">
        <v>196</v>
      </c>
      <c r="F9" s="8" t="s">
        <v>197</v>
      </c>
      <c r="G9" s="8" t="s">
        <v>198</v>
      </c>
      <c r="H9" s="8" t="s">
        <v>199</v>
      </c>
    </row>
    <row r="10" ht="17" customHeight="1" spans="1:8" x14ac:dyDescent="0.25">
      <c r="A10" s="18" t="s">
        <v>200</v>
      </c>
      <c r="B10" s="19" t="s">
        <v>84</v>
      </c>
      <c r="C10" s="8" t="s">
        <v>201</v>
      </c>
      <c r="D10" s="8" t="s">
        <v>202</v>
      </c>
      <c r="E10" s="8" t="s">
        <v>203</v>
      </c>
      <c r="F10" s="8" t="s">
        <v>204</v>
      </c>
      <c r="G10" s="8" t="s">
        <v>205</v>
      </c>
      <c r="H10" s="8" t="s">
        <v>206</v>
      </c>
    </row>
    <row r="11" ht="17" customHeight="1" spans="1:8" x14ac:dyDescent="0.25">
      <c r="A11" s="18"/>
      <c r="B11" s="19"/>
      <c r="C11" s="8"/>
      <c r="D11" s="8"/>
      <c r="E11" s="8"/>
      <c r="F11" s="8"/>
      <c r="G11" s="8"/>
      <c r="H11" s="8"/>
    </row>
    <row r="12" ht="17" customHeight="1" spans="1:8" x14ac:dyDescent="0.25">
      <c r="A12" s="18"/>
      <c r="B12" s="19"/>
      <c r="C12" s="8"/>
      <c r="D12" s="8"/>
      <c r="E12" s="8"/>
      <c r="F12" s="8"/>
      <c r="G12" s="8"/>
      <c r="H12" s="8"/>
    </row>
    <row r="13" ht="17" customHeight="1" spans="1:8" x14ac:dyDescent="0.25">
      <c r="A13" s="18"/>
      <c r="B13" s="19"/>
      <c r="C13" s="8"/>
      <c r="D13" s="8"/>
      <c r="E13" s="8"/>
      <c r="F13" s="8"/>
      <c r="G13" s="8"/>
      <c r="H13" s="8"/>
    </row>
    <row r="14" ht="17" customHeight="1" spans="1:8" x14ac:dyDescent="0.25">
      <c r="A14" s="18"/>
      <c r="B14" s="19"/>
      <c r="C14" s="8"/>
      <c r="D14" s="8"/>
      <c r="E14" s="8"/>
      <c r="F14" s="8"/>
      <c r="G14" s="8"/>
      <c r="H14" s="8"/>
    </row>
    <row r="15" ht="17" customHeight="1" spans="1:8" x14ac:dyDescent="0.25">
      <c r="A15" s="18"/>
      <c r="B15" s="19"/>
      <c r="C15" s="8"/>
      <c r="D15" s="8"/>
      <c r="E15" s="8"/>
      <c r="F15" s="8"/>
      <c r="G15" s="8"/>
      <c r="H15" s="8"/>
    </row>
    <row r="16" ht="17" customHeight="1" spans="1:8" x14ac:dyDescent="0.25">
      <c r="A16" s="18"/>
      <c r="B16" s="19"/>
      <c r="C16" s="8"/>
      <c r="D16" s="8"/>
      <c r="E16" s="8"/>
      <c r="F16" s="8"/>
      <c r="G16" s="8"/>
      <c r="H16" s="8"/>
    </row>
    <row r="17" ht="17" customHeight="1" spans="1:8" x14ac:dyDescent="0.25">
      <c r="A17" s="18"/>
      <c r="B17" s="19"/>
      <c r="C17" s="8"/>
      <c r="D17" s="8"/>
      <c r="E17" s="8"/>
      <c r="F17" s="8"/>
      <c r="G17" s="8"/>
      <c r="H17" s="8"/>
    </row>
    <row r="18" ht="17" customHeight="1" spans="1:8" x14ac:dyDescent="0.25">
      <c r="A18" s="18"/>
      <c r="B18" s="19"/>
      <c r="C18" s="8"/>
      <c r="D18" s="8"/>
      <c r="E18" s="8"/>
      <c r="F18" s="8"/>
      <c r="G18" s="8"/>
      <c r="H18" s="8"/>
    </row>
    <row r="19" ht="17" customHeight="1" spans="1:8" x14ac:dyDescent="0.25">
      <c r="A19" s="18"/>
      <c r="B19" s="19"/>
      <c r="C19" s="8"/>
      <c r="D19" s="8"/>
      <c r="E19" s="8"/>
      <c r="F19" s="8"/>
      <c r="G19" s="8"/>
      <c r="H19" s="8"/>
    </row>
    <row r="20" ht="17" customHeight="1" spans="1:8" x14ac:dyDescent="0.25">
      <c r="A20" s="18"/>
      <c r="B20" s="19"/>
      <c r="C20" s="8"/>
      <c r="D20" s="8"/>
      <c r="E20" s="8"/>
      <c r="F20" s="8"/>
      <c r="G20" s="8"/>
      <c r="H20" s="8"/>
    </row>
    <row r="21" ht="17" customHeight="1" spans="1:8" x14ac:dyDescent="0.25">
      <c r="A21" s="18"/>
      <c r="B21" s="19"/>
      <c r="C21" s="8"/>
      <c r="D21" s="8"/>
      <c r="E21" s="8"/>
      <c r="F21" s="8"/>
      <c r="G21" s="8"/>
      <c r="H21" s="8"/>
    </row>
    <row r="22" ht="17" customHeight="1" spans="1:8" x14ac:dyDescent="0.25">
      <c r="A22" s="18"/>
      <c r="B22" s="19"/>
      <c r="C22" s="8"/>
      <c r="D22" s="8"/>
      <c r="E22" s="8"/>
      <c r="F22" s="8"/>
      <c r="G22" s="8"/>
      <c r="H22" s="8"/>
    </row>
    <row r="23" ht="17" customHeight="1" spans="1:8" x14ac:dyDescent="0.25">
      <c r="A23" s="18"/>
      <c r="B23" s="19"/>
      <c r="C23" s="8"/>
      <c r="D23" s="8"/>
      <c r="E23" s="8"/>
      <c r="F23" s="8"/>
      <c r="G23" s="8"/>
      <c r="H23" s="8"/>
    </row>
    <row r="24" ht="17" customHeight="1" spans="1:8" x14ac:dyDescent="0.25">
      <c r="A24" s="18"/>
      <c r="B24" s="19"/>
      <c r="C24" s="8"/>
      <c r="D24" s="8"/>
      <c r="E24" s="8"/>
      <c r="F24" s="8"/>
      <c r="G24" s="8"/>
      <c r="H24" s="8"/>
    </row>
    <row r="25" ht="17" customHeight="1" spans="1:8" x14ac:dyDescent="0.25">
      <c r="A25" s="18"/>
      <c r="B25" s="19"/>
      <c r="C25" s="8"/>
      <c r="D25" s="8"/>
      <c r="E25" s="8"/>
      <c r="F25" s="8"/>
      <c r="G25" s="8"/>
      <c r="H25" s="8"/>
    </row>
    <row r="26" ht="17" customHeight="1" spans="1:8" x14ac:dyDescent="0.25">
      <c r="A26" s="18"/>
      <c r="B26" s="19"/>
      <c r="C26" s="8"/>
      <c r="D26" s="8"/>
      <c r="E26" s="8"/>
      <c r="F26" s="8"/>
      <c r="G26" s="8"/>
      <c r="H26" s="8"/>
    </row>
    <row r="27" ht="17" customHeight="1" spans="1:8" x14ac:dyDescent="0.25">
      <c r="A27" s="18"/>
      <c r="B27" s="19"/>
      <c r="C27" s="8"/>
      <c r="D27" s="8"/>
      <c r="E27" s="8"/>
      <c r="F27" s="8"/>
      <c r="G27" s="8"/>
      <c r="H27" s="8"/>
    </row>
    <row r="28" ht="17" customHeight="1" spans="1:8" x14ac:dyDescent="0.25">
      <c r="A28" s="18"/>
      <c r="B28" s="19"/>
      <c r="C28" s="8"/>
      <c r="D28" s="8"/>
      <c r="E28" s="8"/>
      <c r="F28" s="8"/>
      <c r="G28" s="8"/>
      <c r="H28" s="8"/>
    </row>
    <row r="29" ht="17" customHeight="1" spans="1:8" x14ac:dyDescent="0.25">
      <c r="A29" s="18"/>
      <c r="B29" s="19"/>
      <c r="C29" s="8"/>
      <c r="D29" s="8"/>
      <c r="E29" s="8"/>
      <c r="F29" s="8"/>
      <c r="G29" s="8"/>
      <c r="H29" s="8"/>
    </row>
    <row r="30" ht="17" customHeight="1" spans="1:8" x14ac:dyDescent="0.25">
      <c r="A30" s="18"/>
      <c r="B30" s="19"/>
      <c r="C30" s="8"/>
      <c r="D30" s="8"/>
      <c r="E30" s="8"/>
      <c r="F30" s="8"/>
      <c r="G30" s="8"/>
      <c r="H30" s="8"/>
    </row>
    <row r="31" ht="17" customHeight="1" spans="1:8" x14ac:dyDescent="0.25">
      <c r="A31" s="18"/>
      <c r="B31" s="19"/>
      <c r="C31" s="8"/>
      <c r="D31" s="8"/>
      <c r="E31" s="8"/>
      <c r="F31" s="8"/>
      <c r="G31" s="8"/>
      <c r="H31" s="8"/>
    </row>
    <row r="32" ht="17" customHeight="1" spans="1:8" x14ac:dyDescent="0.25">
      <c r="A32" s="18"/>
      <c r="B32" s="19"/>
      <c r="C32" s="8"/>
      <c r="D32" s="8"/>
      <c r="E32" s="8"/>
      <c r="F32" s="8"/>
      <c r="G32" s="8"/>
      <c r="H32" s="8"/>
    </row>
    <row r="33" ht="17" customHeight="1" spans="1:8" x14ac:dyDescent="0.25">
      <c r="A33" s="18"/>
      <c r="B33" s="19"/>
      <c r="C33" s="8"/>
      <c r="D33" s="8"/>
      <c r="E33" s="8"/>
      <c r="F33" s="8"/>
      <c r="G33" s="8"/>
      <c r="H33" s="8"/>
    </row>
    <row r="34" ht="17" customHeight="1" spans="1:8" x14ac:dyDescent="0.25">
      <c r="A34" s="18"/>
      <c r="B34" s="19"/>
      <c r="C34" s="8"/>
      <c r="D34" s="8"/>
      <c r="E34" s="8"/>
      <c r="F34" s="8"/>
      <c r="G34" s="8"/>
      <c r="H34" s="8"/>
    </row>
  </sheetData>
  <autoFilter ref="A4:H4"/>
  <conditionalFormatting sqref="B5:B154">
    <cfRule type="expression" dxfId="11" priority="1">
      <formula>AND($A5&lt;&gt;"",$B5="")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16" customWidth="1"/>
    <col min="4" max="4" width="30" customWidth="1"/>
    <col min="5" max="5" width="28" customWidth="1"/>
    <col min="6" max="6" width="38" customWidth="1"/>
    <col min="7" max="7" width="16" customWidth="1"/>
    <col min="8" max="8" width="14" customWidth="1"/>
    <col min="9" max="9" width="18" customWidth="1"/>
    <col min="10" max="10" width="14" customWidth="1"/>
    <col min="11" max="11" width="34" customWidth="1"/>
  </cols>
  <sheetData>
    <row r="1" ht="22" customHeight="1" spans="1:1" x14ac:dyDescent="0.25">
      <c r="A1" s="20" t="s">
        <v>207</v>
      </c>
    </row>
    <row r="2" ht="16" customHeight="1" spans="1:1" x14ac:dyDescent="0.25">
      <c r="A2" s="21" t="s">
        <v>208</v>
      </c>
    </row>
    <row r="3" spans="1:1" x14ac:dyDescent="0.25">
      <c r="A3" s="21" t="s">
        <v>209</v>
      </c>
    </row>
    <row r="4" ht="32" customHeight="1" spans="1:11" x14ac:dyDescent="0.25">
      <c r="A4" s="6" t="s">
        <v>37</v>
      </c>
      <c r="B4" s="6" t="s">
        <v>38</v>
      </c>
      <c r="C4" s="6" t="s">
        <v>7</v>
      </c>
      <c r="D4" s="6" t="s">
        <v>8</v>
      </c>
      <c r="E4" s="6" t="s">
        <v>20</v>
      </c>
      <c r="F4" s="6" t="s">
        <v>210</v>
      </c>
      <c r="G4" s="6" t="s">
        <v>39</v>
      </c>
      <c r="H4" s="6" t="s">
        <v>211</v>
      </c>
      <c r="I4" s="6" t="s">
        <v>40</v>
      </c>
      <c r="J4" s="6" t="s">
        <v>41</v>
      </c>
      <c r="K4" s="6" t="s">
        <v>212</v>
      </c>
    </row>
    <row r="5" ht="17" customHeight="1" spans="1:11" x14ac:dyDescent="0.25">
      <c r="A5" s="8" t="s">
        <v>113</v>
      </c>
      <c r="B5" s="11">
        <v>46255</v>
      </c>
      <c r="C5" s="8" t="s">
        <v>105</v>
      </c>
      <c r="D5" s="8" t="s">
        <v>79</v>
      </c>
      <c r="E5" s="8" t="s">
        <v>93</v>
      </c>
      <c r="F5" s="9" t="s">
        <v>106</v>
      </c>
      <c r="G5" s="10">
        <v>5950000</v>
      </c>
      <c r="H5" s="11">
        <v>46325</v>
      </c>
      <c r="I5" s="8" t="s">
        <v>114</v>
      </c>
      <c r="J5" s="11"/>
      <c r="K5" s="8" t="s">
        <v>213</v>
      </c>
    </row>
    <row r="6" ht="17" customHeight="1" spans="1:11" x14ac:dyDescent="0.25">
      <c r="A6" s="8"/>
      <c r="B6" s="11"/>
      <c r="C6" s="8"/>
      <c r="D6" s="8"/>
      <c r="E6" s="8"/>
      <c r="F6" s="9"/>
      <c r="G6" s="10"/>
      <c r="H6" s="11"/>
      <c r="I6" s="8"/>
      <c r="J6" s="11"/>
      <c r="K6" s="8"/>
    </row>
    <row r="7" ht="17" customHeight="1" spans="1:11" x14ac:dyDescent="0.25">
      <c r="A7" s="8"/>
      <c r="B7" s="11"/>
      <c r="C7" s="8"/>
      <c r="D7" s="8"/>
      <c r="E7" s="8"/>
      <c r="F7" s="9"/>
      <c r="G7" s="10"/>
      <c r="H7" s="11"/>
      <c r="I7" s="8"/>
      <c r="J7" s="11"/>
      <c r="K7" s="8"/>
    </row>
    <row r="8" ht="17" customHeight="1" spans="1:11" x14ac:dyDescent="0.25">
      <c r="A8" s="8"/>
      <c r="B8" s="11"/>
      <c r="C8" s="8"/>
      <c r="D8" s="8"/>
      <c r="E8" s="8"/>
      <c r="F8" s="9"/>
      <c r="G8" s="10"/>
      <c r="H8" s="11"/>
      <c r="I8" s="8"/>
      <c r="J8" s="11"/>
      <c r="K8" s="8"/>
    </row>
    <row r="9" ht="17" customHeight="1" spans="1:11" x14ac:dyDescent="0.25">
      <c r="A9" s="8"/>
      <c r="B9" s="11"/>
      <c r="C9" s="8"/>
      <c r="D9" s="8"/>
      <c r="E9" s="8"/>
      <c r="F9" s="9"/>
      <c r="G9" s="10"/>
      <c r="H9" s="11"/>
      <c r="I9" s="8"/>
      <c r="J9" s="11"/>
      <c r="K9" s="8"/>
    </row>
    <row r="10" ht="17" customHeight="1" spans="1:11" x14ac:dyDescent="0.25">
      <c r="A10" s="8"/>
      <c r="B10" s="11"/>
      <c r="C10" s="8"/>
      <c r="D10" s="8"/>
      <c r="E10" s="8"/>
      <c r="F10" s="9"/>
      <c r="G10" s="10"/>
      <c r="H10" s="11"/>
      <c r="I10" s="8"/>
      <c r="J10" s="11"/>
      <c r="K10" s="8"/>
    </row>
    <row r="11" ht="17" customHeight="1" spans="1:11" x14ac:dyDescent="0.25">
      <c r="A11" s="8"/>
      <c r="B11" s="11"/>
      <c r="C11" s="8"/>
      <c r="D11" s="8"/>
      <c r="E11" s="8"/>
      <c r="F11" s="9"/>
      <c r="G11" s="10"/>
      <c r="H11" s="11"/>
      <c r="I11" s="8"/>
      <c r="J11" s="11"/>
      <c r="K11" s="8"/>
    </row>
    <row r="12" ht="17" customHeight="1" spans="1:11" x14ac:dyDescent="0.25">
      <c r="A12" s="8"/>
      <c r="B12" s="11"/>
      <c r="C12" s="8"/>
      <c r="D12" s="8"/>
      <c r="E12" s="8"/>
      <c r="F12" s="9"/>
      <c r="G12" s="10"/>
      <c r="H12" s="11"/>
      <c r="I12" s="8"/>
      <c r="J12" s="11"/>
      <c r="K12" s="8"/>
    </row>
    <row r="13" ht="17" customHeight="1" spans="1:11" x14ac:dyDescent="0.25">
      <c r="A13" s="8"/>
      <c r="B13" s="11"/>
      <c r="C13" s="8"/>
      <c r="D13" s="8"/>
      <c r="E13" s="8"/>
      <c r="F13" s="9"/>
      <c r="G13" s="10"/>
      <c r="H13" s="11"/>
      <c r="I13" s="8"/>
      <c r="J13" s="11"/>
      <c r="K13" s="8"/>
    </row>
    <row r="14" ht="17" customHeight="1" spans="1:11" x14ac:dyDescent="0.25">
      <c r="A14" s="8"/>
      <c r="B14" s="11"/>
      <c r="C14" s="8"/>
      <c r="D14" s="8"/>
      <c r="E14" s="8"/>
      <c r="F14" s="9"/>
      <c r="G14" s="10"/>
      <c r="H14" s="11"/>
      <c r="I14" s="8"/>
      <c r="J14" s="11"/>
      <c r="K14" s="8"/>
    </row>
    <row r="15" ht="17" customHeight="1" spans="1:11" x14ac:dyDescent="0.25">
      <c r="A15" s="8"/>
      <c r="B15" s="11"/>
      <c r="C15" s="8"/>
      <c r="D15" s="8"/>
      <c r="E15" s="8"/>
      <c r="F15" s="9"/>
      <c r="G15" s="10"/>
      <c r="H15" s="11"/>
      <c r="I15" s="8"/>
      <c r="J15" s="11"/>
      <c r="K15" s="8"/>
    </row>
    <row r="16" ht="17" customHeight="1" spans="1:11" x14ac:dyDescent="0.25">
      <c r="A16" s="8"/>
      <c r="B16" s="11"/>
      <c r="C16" s="8"/>
      <c r="D16" s="8"/>
      <c r="E16" s="8"/>
      <c r="F16" s="9"/>
      <c r="G16" s="10"/>
      <c r="H16" s="11"/>
      <c r="I16" s="8"/>
      <c r="J16" s="11"/>
      <c r="K16" s="8"/>
    </row>
    <row r="17" ht="17" customHeight="1" spans="1:11" x14ac:dyDescent="0.25">
      <c r="A17" s="8"/>
      <c r="B17" s="11"/>
      <c r="C17" s="8"/>
      <c r="D17" s="8"/>
      <c r="E17" s="8"/>
      <c r="F17" s="9"/>
      <c r="G17" s="10"/>
      <c r="H17" s="11"/>
      <c r="I17" s="8"/>
      <c r="J17" s="11"/>
      <c r="K17" s="8"/>
    </row>
    <row r="18" ht="17" customHeight="1" spans="1:11" x14ac:dyDescent="0.25">
      <c r="A18" s="8"/>
      <c r="B18" s="11"/>
      <c r="C18" s="8"/>
      <c r="D18" s="8"/>
      <c r="E18" s="8"/>
      <c r="F18" s="9"/>
      <c r="G18" s="10"/>
      <c r="H18" s="11"/>
      <c r="I18" s="8"/>
      <c r="J18" s="11"/>
      <c r="K18" s="8"/>
    </row>
    <row r="19" ht="17" customHeight="1" spans="1:11" x14ac:dyDescent="0.25">
      <c r="A19" s="8"/>
      <c r="B19" s="11"/>
      <c r="C19" s="8"/>
      <c r="D19" s="8"/>
      <c r="E19" s="8"/>
      <c r="F19" s="9"/>
      <c r="G19" s="10"/>
      <c r="H19" s="11"/>
      <c r="I19" s="8"/>
      <c r="J19" s="11"/>
      <c r="K19" s="8"/>
    </row>
    <row r="20" ht="17" customHeight="1" spans="1:11" x14ac:dyDescent="0.25">
      <c r="A20" s="8"/>
      <c r="B20" s="11"/>
      <c r="C20" s="8"/>
      <c r="D20" s="8"/>
      <c r="E20" s="8"/>
      <c r="F20" s="9"/>
      <c r="G20" s="10"/>
      <c r="H20" s="11"/>
      <c r="I20" s="8"/>
      <c r="J20" s="11"/>
      <c r="K20" s="8"/>
    </row>
    <row r="21" ht="17" customHeight="1" spans="1:11" x14ac:dyDescent="0.25">
      <c r="A21" s="8"/>
      <c r="B21" s="11"/>
      <c r="C21" s="8"/>
      <c r="D21" s="8"/>
      <c r="E21" s="8"/>
      <c r="F21" s="9"/>
      <c r="G21" s="10"/>
      <c r="H21" s="11"/>
      <c r="I21" s="8"/>
      <c r="J21" s="11"/>
      <c r="K21" s="8"/>
    </row>
    <row r="22" ht="17" customHeight="1" spans="1:11" x14ac:dyDescent="0.25">
      <c r="A22" s="8"/>
      <c r="B22" s="11"/>
      <c r="C22" s="8"/>
      <c r="D22" s="8"/>
      <c r="E22" s="8"/>
      <c r="F22" s="9"/>
      <c r="G22" s="10"/>
      <c r="H22" s="11"/>
      <c r="I22" s="8"/>
      <c r="J22" s="11"/>
      <c r="K22" s="8"/>
    </row>
    <row r="23" ht="17" customHeight="1" spans="1:11" x14ac:dyDescent="0.25">
      <c r="A23" s="8"/>
      <c r="B23" s="11"/>
      <c r="C23" s="8"/>
      <c r="D23" s="8"/>
      <c r="E23" s="8"/>
      <c r="F23" s="9"/>
      <c r="G23" s="10"/>
      <c r="H23" s="11"/>
      <c r="I23" s="8"/>
      <c r="J23" s="11"/>
      <c r="K23" s="8"/>
    </row>
    <row r="24" ht="17" customHeight="1" spans="1:11" x14ac:dyDescent="0.25">
      <c r="A24" s="8"/>
      <c r="B24" s="11"/>
      <c r="C24" s="8"/>
      <c r="D24" s="8"/>
      <c r="E24" s="8"/>
      <c r="F24" s="9"/>
      <c r="G24" s="10"/>
      <c r="H24" s="11"/>
      <c r="I24" s="8"/>
      <c r="J24" s="11"/>
      <c r="K24" s="8"/>
    </row>
    <row r="25" ht="17" customHeight="1" spans="1:11" x14ac:dyDescent="0.25">
      <c r="A25" s="8"/>
      <c r="B25" s="11"/>
      <c r="C25" s="8"/>
      <c r="D25" s="8"/>
      <c r="E25" s="8"/>
      <c r="F25" s="9"/>
      <c r="G25" s="10"/>
      <c r="H25" s="11"/>
      <c r="I25" s="8"/>
      <c r="J25" s="11"/>
      <c r="K25" s="8"/>
    </row>
    <row r="26" ht="17" customHeight="1" spans="1:11" x14ac:dyDescent="0.25">
      <c r="A26" s="8"/>
      <c r="B26" s="11"/>
      <c r="C26" s="8"/>
      <c r="D26" s="8"/>
      <c r="E26" s="8"/>
      <c r="F26" s="9"/>
      <c r="G26" s="10"/>
      <c r="H26" s="11"/>
      <c r="I26" s="8"/>
      <c r="J26" s="11"/>
      <c r="K26" s="8"/>
    </row>
    <row r="27" ht="17" customHeight="1" spans="1:11" x14ac:dyDescent="0.25">
      <c r="A27" s="8"/>
      <c r="B27" s="11"/>
      <c r="C27" s="8"/>
      <c r="D27" s="8"/>
      <c r="E27" s="8"/>
      <c r="F27" s="9"/>
      <c r="G27" s="10"/>
      <c r="H27" s="11"/>
      <c r="I27" s="8"/>
      <c r="J27" s="11"/>
      <c r="K27" s="8"/>
    </row>
    <row r="28" ht="17" customHeight="1" spans="1:11" x14ac:dyDescent="0.25">
      <c r="A28" s="8"/>
      <c r="B28" s="11"/>
      <c r="C28" s="8"/>
      <c r="D28" s="8"/>
      <c r="E28" s="8"/>
      <c r="F28" s="9"/>
      <c r="G28" s="10"/>
      <c r="H28" s="11"/>
      <c r="I28" s="8"/>
      <c r="J28" s="11"/>
      <c r="K28" s="8"/>
    </row>
    <row r="29" ht="17" customHeight="1" spans="1:11" x14ac:dyDescent="0.25">
      <c r="A29" s="8"/>
      <c r="B29" s="11"/>
      <c r="C29" s="8"/>
      <c r="D29" s="8"/>
      <c r="E29" s="8"/>
      <c r="F29" s="9"/>
      <c r="G29" s="10"/>
      <c r="H29" s="11"/>
      <c r="I29" s="8"/>
      <c r="J29" s="11"/>
      <c r="K29" s="8"/>
    </row>
    <row r="30" ht="17" customHeight="1" spans="1:11" x14ac:dyDescent="0.25">
      <c r="A30" s="8"/>
      <c r="B30" s="11"/>
      <c r="C30" s="8"/>
      <c r="D30" s="8"/>
      <c r="E30" s="8"/>
      <c r="F30" s="9"/>
      <c r="G30" s="10"/>
      <c r="H30" s="11"/>
      <c r="I30" s="8"/>
      <c r="J30" s="11"/>
      <c r="K30" s="8"/>
    </row>
    <row r="31" ht="17" customHeight="1" spans="1:11" x14ac:dyDescent="0.25">
      <c r="A31" s="8"/>
      <c r="B31" s="11"/>
      <c r="C31" s="8"/>
      <c r="D31" s="8"/>
      <c r="E31" s="8"/>
      <c r="F31" s="9"/>
      <c r="G31" s="10"/>
      <c r="H31" s="11"/>
      <c r="I31" s="8"/>
      <c r="J31" s="11"/>
      <c r="K31" s="8"/>
    </row>
    <row r="32" ht="17" customHeight="1" spans="1:11" x14ac:dyDescent="0.25">
      <c r="A32" s="8"/>
      <c r="B32" s="11"/>
      <c r="C32" s="8"/>
      <c r="D32" s="8"/>
      <c r="E32" s="8"/>
      <c r="F32" s="9"/>
      <c r="G32" s="10"/>
      <c r="H32" s="11"/>
      <c r="I32" s="8"/>
      <c r="J32" s="11"/>
      <c r="K32" s="8"/>
    </row>
    <row r="33" ht="17" customHeight="1" spans="1:11" x14ac:dyDescent="0.25">
      <c r="A33" s="8"/>
      <c r="B33" s="11"/>
      <c r="C33" s="8"/>
      <c r="D33" s="8"/>
      <c r="E33" s="8"/>
      <c r="F33" s="9"/>
      <c r="G33" s="10"/>
      <c r="H33" s="11"/>
      <c r="I33" s="8"/>
      <c r="J33" s="11"/>
      <c r="K33" s="8"/>
    </row>
    <row r="34" ht="17" customHeight="1" spans="1:11" x14ac:dyDescent="0.25">
      <c r="A34" s="8"/>
      <c r="B34" s="11"/>
      <c r="C34" s="8"/>
      <c r="D34" s="8"/>
      <c r="E34" s="8"/>
      <c r="F34" s="9"/>
      <c r="G34" s="10"/>
      <c r="H34" s="11"/>
      <c r="I34" s="8"/>
      <c r="J34" s="11"/>
      <c r="K34" s="8"/>
    </row>
    <row r="35" ht="17" customHeight="1" spans="1:11" x14ac:dyDescent="0.25">
      <c r="A35" s="8"/>
      <c r="B35" s="11"/>
      <c r="C35" s="8"/>
      <c r="D35" s="8"/>
      <c r="E35" s="8"/>
      <c r="F35" s="9"/>
      <c r="G35" s="10"/>
      <c r="H35" s="11"/>
      <c r="I35" s="8"/>
      <c r="J35" s="11"/>
      <c r="K35" s="8"/>
    </row>
    <row r="36" ht="17" customHeight="1" spans="1:11" x14ac:dyDescent="0.25">
      <c r="A36" s="8"/>
      <c r="B36" s="11"/>
      <c r="C36" s="8"/>
      <c r="D36" s="8"/>
      <c r="E36" s="8"/>
      <c r="F36" s="9"/>
      <c r="G36" s="10"/>
      <c r="H36" s="11"/>
      <c r="I36" s="8"/>
      <c r="J36" s="11"/>
      <c r="K36" s="8"/>
    </row>
    <row r="37" ht="17" customHeight="1" spans="1:11" x14ac:dyDescent="0.25">
      <c r="A37" s="8"/>
      <c r="B37" s="11"/>
      <c r="C37" s="8"/>
      <c r="D37" s="8"/>
      <c r="E37" s="8"/>
      <c r="F37" s="9"/>
      <c r="G37" s="10"/>
      <c r="H37" s="11"/>
      <c r="I37" s="8"/>
      <c r="J37" s="11"/>
      <c r="K37" s="8"/>
    </row>
    <row r="38" ht="17" customHeight="1" spans="1:11" x14ac:dyDescent="0.25">
      <c r="A38" s="8"/>
      <c r="B38" s="11"/>
      <c r="C38" s="8"/>
      <c r="D38" s="8"/>
      <c r="E38" s="8"/>
      <c r="F38" s="9"/>
      <c r="G38" s="10"/>
      <c r="H38" s="11"/>
      <c r="I38" s="8"/>
      <c r="J38" s="11"/>
      <c r="K38" s="8"/>
    </row>
    <row r="39" ht="17" customHeight="1" spans="1:11" x14ac:dyDescent="0.25">
      <c r="A39" s="8"/>
      <c r="B39" s="11"/>
      <c r="C39" s="8"/>
      <c r="D39" s="8"/>
      <c r="E39" s="8"/>
      <c r="F39" s="9"/>
      <c r="G39" s="10"/>
      <c r="H39" s="11"/>
      <c r="I39" s="8"/>
      <c r="J39" s="11"/>
      <c r="K39" s="8"/>
    </row>
    <row r="40" ht="17" customHeight="1" spans="1:11" x14ac:dyDescent="0.25">
      <c r="A40" s="8"/>
      <c r="B40" s="11"/>
      <c r="C40" s="8"/>
      <c r="D40" s="8"/>
      <c r="E40" s="8"/>
      <c r="F40" s="9"/>
      <c r="G40" s="10"/>
      <c r="H40" s="11"/>
      <c r="I40" s="8"/>
      <c r="J40" s="11"/>
      <c r="K40" s="8"/>
    </row>
    <row r="41" ht="17" customHeight="1" spans="1:11" x14ac:dyDescent="0.25">
      <c r="A41" s="8"/>
      <c r="B41" s="11"/>
      <c r="C41" s="8"/>
      <c r="D41" s="8"/>
      <c r="E41" s="8"/>
      <c r="F41" s="9"/>
      <c r="G41" s="10"/>
      <c r="H41" s="11"/>
      <c r="I41" s="8"/>
      <c r="J41" s="11"/>
      <c r="K41" s="8"/>
    </row>
    <row r="42" ht="17" customHeight="1" spans="1:11" x14ac:dyDescent="0.25">
      <c r="A42" s="8"/>
      <c r="B42" s="11"/>
      <c r="C42" s="8"/>
      <c r="D42" s="8"/>
      <c r="E42" s="8"/>
      <c r="F42" s="9"/>
      <c r="G42" s="10"/>
      <c r="H42" s="11"/>
      <c r="I42" s="8"/>
      <c r="J42" s="11"/>
      <c r="K42" s="8"/>
    </row>
    <row r="43" ht="17" customHeight="1" spans="1:11" x14ac:dyDescent="0.25">
      <c r="A43" s="8"/>
      <c r="B43" s="11"/>
      <c r="C43" s="8"/>
      <c r="D43" s="8"/>
      <c r="E43" s="8"/>
      <c r="F43" s="9"/>
      <c r="G43" s="10"/>
      <c r="H43" s="11"/>
      <c r="I43" s="8"/>
      <c r="J43" s="11"/>
      <c r="K43" s="8"/>
    </row>
    <row r="44" ht="17" customHeight="1" spans="1:11" x14ac:dyDescent="0.25">
      <c r="A44" s="8"/>
      <c r="B44" s="11"/>
      <c r="C44" s="8"/>
      <c r="D44" s="8"/>
      <c r="E44" s="8"/>
      <c r="F44" s="9"/>
      <c r="G44" s="10"/>
      <c r="H44" s="11"/>
      <c r="I44" s="8"/>
      <c r="J44" s="11"/>
      <c r="K44" s="8"/>
    </row>
    <row r="45" ht="17" customHeight="1" spans="1:11" x14ac:dyDescent="0.25">
      <c r="A45" s="8"/>
      <c r="B45" s="11"/>
      <c r="C45" s="8"/>
      <c r="D45" s="8"/>
      <c r="E45" s="8"/>
      <c r="F45" s="9"/>
      <c r="G45" s="10"/>
      <c r="H45" s="11"/>
      <c r="I45" s="8"/>
      <c r="J45" s="11"/>
      <c r="K45" s="8"/>
    </row>
    <row r="46" ht="17" customHeight="1" spans="1:11" x14ac:dyDescent="0.25">
      <c r="A46" s="8"/>
      <c r="B46" s="11"/>
      <c r="C46" s="8"/>
      <c r="D46" s="8"/>
      <c r="E46" s="8"/>
      <c r="F46" s="9"/>
      <c r="G46" s="10"/>
      <c r="H46" s="11"/>
      <c r="I46" s="8"/>
      <c r="J46" s="11"/>
      <c r="K46" s="8"/>
    </row>
    <row r="47" ht="17" customHeight="1" spans="1:11" x14ac:dyDescent="0.25">
      <c r="A47" s="8"/>
      <c r="B47" s="11"/>
      <c r="C47" s="8"/>
      <c r="D47" s="8"/>
      <c r="E47" s="8"/>
      <c r="F47" s="9"/>
      <c r="G47" s="10"/>
      <c r="H47" s="11"/>
      <c r="I47" s="8"/>
      <c r="J47" s="11"/>
      <c r="K47" s="8"/>
    </row>
    <row r="48" ht="17" customHeight="1" spans="1:11" x14ac:dyDescent="0.25">
      <c r="A48" s="8"/>
      <c r="B48" s="11"/>
      <c r="C48" s="8"/>
      <c r="D48" s="8"/>
      <c r="E48" s="8"/>
      <c r="F48" s="9"/>
      <c r="G48" s="10"/>
      <c r="H48" s="11"/>
      <c r="I48" s="8"/>
      <c r="J48" s="11"/>
      <c r="K48" s="8"/>
    </row>
    <row r="49" ht="17" customHeight="1" spans="1:11" x14ac:dyDescent="0.25">
      <c r="A49" s="8"/>
      <c r="B49" s="11"/>
      <c r="C49" s="8"/>
      <c r="D49" s="8"/>
      <c r="E49" s="8"/>
      <c r="F49" s="9"/>
      <c r="G49" s="10"/>
      <c r="H49" s="11"/>
      <c r="I49" s="8"/>
      <c r="J49" s="11"/>
      <c r="K49" s="8"/>
    </row>
    <row r="50" ht="17" customHeight="1" spans="1:11" x14ac:dyDescent="0.25">
      <c r="A50" s="8"/>
      <c r="B50" s="11"/>
      <c r="C50" s="8"/>
      <c r="D50" s="8"/>
      <c r="E50" s="8"/>
      <c r="F50" s="9"/>
      <c r="G50" s="10"/>
      <c r="H50" s="11"/>
      <c r="I50" s="8"/>
      <c r="J50" s="11"/>
      <c r="K50" s="8"/>
    </row>
    <row r="51" ht="17" customHeight="1" spans="1:11" x14ac:dyDescent="0.25">
      <c r="A51" s="8"/>
      <c r="B51" s="11"/>
      <c r="C51" s="8"/>
      <c r="D51" s="8"/>
      <c r="E51" s="8"/>
      <c r="F51" s="9"/>
      <c r="G51" s="10"/>
      <c r="H51" s="11"/>
      <c r="I51" s="8"/>
      <c r="J51" s="11"/>
      <c r="K51" s="8"/>
    </row>
    <row r="52" ht="17" customHeight="1" spans="1:11" x14ac:dyDescent="0.25">
      <c r="A52" s="8"/>
      <c r="B52" s="11"/>
      <c r="C52" s="8"/>
      <c r="D52" s="8"/>
      <c r="E52" s="8"/>
      <c r="F52" s="9"/>
      <c r="G52" s="10"/>
      <c r="H52" s="11"/>
      <c r="I52" s="8"/>
      <c r="J52" s="11"/>
      <c r="K52" s="8"/>
    </row>
    <row r="53" ht="17" customHeight="1" spans="1:11" x14ac:dyDescent="0.25">
      <c r="A53" s="8"/>
      <c r="B53" s="11"/>
      <c r="C53" s="8"/>
      <c r="D53" s="8"/>
      <c r="E53" s="8"/>
      <c r="F53" s="9"/>
      <c r="G53" s="10"/>
      <c r="H53" s="11"/>
      <c r="I53" s="8"/>
      <c r="J53" s="11"/>
      <c r="K53" s="8"/>
    </row>
    <row r="54" ht="17" customHeight="1" spans="1:11" x14ac:dyDescent="0.25">
      <c r="A54" s="8"/>
      <c r="B54" s="11"/>
      <c r="C54" s="8"/>
      <c r="D54" s="8"/>
      <c r="E54" s="8"/>
      <c r="F54" s="9"/>
      <c r="G54" s="10"/>
      <c r="H54" s="11"/>
      <c r="I54" s="8"/>
      <c r="J54" s="11"/>
      <c r="K54" s="8"/>
    </row>
    <row r="55" ht="17" customHeight="1" spans="1:11" x14ac:dyDescent="0.25">
      <c r="A55" s="8"/>
      <c r="B55" s="11"/>
      <c r="C55" s="8"/>
      <c r="D55" s="8"/>
      <c r="E55" s="8"/>
      <c r="F55" s="9"/>
      <c r="G55" s="10"/>
      <c r="H55" s="11"/>
      <c r="I55" s="8"/>
      <c r="J55" s="11"/>
      <c r="K55" s="8"/>
    </row>
    <row r="56" ht="17" customHeight="1" spans="1:11" x14ac:dyDescent="0.25">
      <c r="A56" s="8"/>
      <c r="B56" s="11"/>
      <c r="C56" s="8"/>
      <c r="D56" s="8"/>
      <c r="E56" s="8"/>
      <c r="F56" s="9"/>
      <c r="G56" s="10"/>
      <c r="H56" s="11"/>
      <c r="I56" s="8"/>
      <c r="J56" s="11"/>
      <c r="K56" s="8"/>
    </row>
    <row r="57" ht="17" customHeight="1" spans="1:11" x14ac:dyDescent="0.25">
      <c r="A57" s="8"/>
      <c r="B57" s="11"/>
      <c r="C57" s="8"/>
      <c r="D57" s="8"/>
      <c r="E57" s="8"/>
      <c r="F57" s="9"/>
      <c r="G57" s="10"/>
      <c r="H57" s="11"/>
      <c r="I57" s="8"/>
      <c r="J57" s="11"/>
      <c r="K57" s="8"/>
    </row>
    <row r="58" ht="17" customHeight="1" spans="1:11" x14ac:dyDescent="0.25">
      <c r="A58" s="8"/>
      <c r="B58" s="11"/>
      <c r="C58" s="8"/>
      <c r="D58" s="8"/>
      <c r="E58" s="8"/>
      <c r="F58" s="9"/>
      <c r="G58" s="10"/>
      <c r="H58" s="11"/>
      <c r="I58" s="8"/>
      <c r="J58" s="11"/>
      <c r="K58" s="8"/>
    </row>
    <row r="59" ht="17" customHeight="1" spans="1:11" x14ac:dyDescent="0.25">
      <c r="A59" s="8"/>
      <c r="B59" s="11"/>
      <c r="C59" s="8"/>
      <c r="D59" s="8"/>
      <c r="E59" s="8"/>
      <c r="F59" s="9"/>
      <c r="G59" s="10"/>
      <c r="H59" s="11"/>
      <c r="I59" s="8"/>
      <c r="J59" s="11"/>
      <c r="K59" s="8"/>
    </row>
    <row r="60" ht="17" customHeight="1" spans="1:11" x14ac:dyDescent="0.25">
      <c r="A60" s="8"/>
      <c r="B60" s="11"/>
      <c r="C60" s="8"/>
      <c r="D60" s="8"/>
      <c r="E60" s="8"/>
      <c r="F60" s="9"/>
      <c r="G60" s="10"/>
      <c r="H60" s="11"/>
      <c r="I60" s="8"/>
      <c r="J60" s="11"/>
      <c r="K60" s="8"/>
    </row>
    <row r="61" ht="17" customHeight="1" spans="1:11" x14ac:dyDescent="0.25">
      <c r="A61" s="8"/>
      <c r="B61" s="11"/>
      <c r="C61" s="8"/>
      <c r="D61" s="8"/>
      <c r="E61" s="8"/>
      <c r="F61" s="9"/>
      <c r="G61" s="10"/>
      <c r="H61" s="11"/>
      <c r="I61" s="8"/>
      <c r="J61" s="11"/>
      <c r="K61" s="8"/>
    </row>
    <row r="62" ht="17" customHeight="1" spans="1:11" x14ac:dyDescent="0.25">
      <c r="A62" s="8"/>
      <c r="B62" s="11"/>
      <c r="C62" s="8"/>
      <c r="D62" s="8"/>
      <c r="E62" s="8"/>
      <c r="F62" s="9"/>
      <c r="G62" s="10"/>
      <c r="H62" s="11"/>
      <c r="I62" s="8"/>
      <c r="J62" s="11"/>
      <c r="K62" s="8"/>
    </row>
    <row r="63" ht="17" customHeight="1" spans="1:11" x14ac:dyDescent="0.25">
      <c r="A63" s="8"/>
      <c r="B63" s="11"/>
      <c r="C63" s="8"/>
      <c r="D63" s="8"/>
      <c r="E63" s="8"/>
      <c r="F63" s="9"/>
      <c r="G63" s="10"/>
      <c r="H63" s="11"/>
      <c r="I63" s="8"/>
      <c r="J63" s="11"/>
      <c r="K63" s="8"/>
    </row>
    <row r="64" ht="17" customHeight="1" spans="1:11" x14ac:dyDescent="0.25">
      <c r="A64" s="8"/>
      <c r="B64" s="11"/>
      <c r="C64" s="8"/>
      <c r="D64" s="8"/>
      <c r="E64" s="8"/>
      <c r="F64" s="9"/>
      <c r="G64" s="10"/>
      <c r="H64" s="11"/>
      <c r="I64" s="8"/>
      <c r="J64" s="11"/>
      <c r="K64" s="8"/>
    </row>
    <row r="65" ht="17" customHeight="1" spans="1:11" x14ac:dyDescent="0.25">
      <c r="A65" s="8"/>
      <c r="B65" s="11"/>
      <c r="C65" s="8"/>
      <c r="D65" s="8"/>
      <c r="E65" s="8"/>
      <c r="F65" s="9"/>
      <c r="G65" s="10"/>
      <c r="H65" s="11"/>
      <c r="I65" s="8"/>
      <c r="J65" s="11"/>
      <c r="K65" s="8"/>
    </row>
    <row r="66" ht="17" customHeight="1" spans="1:11" x14ac:dyDescent="0.25">
      <c r="A66" s="8"/>
      <c r="B66" s="11"/>
      <c r="C66" s="8"/>
      <c r="D66" s="8"/>
      <c r="E66" s="8"/>
      <c r="F66" s="9"/>
      <c r="G66" s="10"/>
      <c r="H66" s="11"/>
      <c r="I66" s="8"/>
      <c r="J66" s="11"/>
      <c r="K66" s="8"/>
    </row>
    <row r="67" ht="17" customHeight="1" spans="1:11" x14ac:dyDescent="0.25">
      <c r="A67" s="8"/>
      <c r="B67" s="11"/>
      <c r="C67" s="8"/>
      <c r="D67" s="8"/>
      <c r="E67" s="8"/>
      <c r="F67" s="9"/>
      <c r="G67" s="10"/>
      <c r="H67" s="11"/>
      <c r="I67" s="8"/>
      <c r="J67" s="11"/>
      <c r="K67" s="8"/>
    </row>
    <row r="68" ht="17" customHeight="1" spans="1:11" x14ac:dyDescent="0.25">
      <c r="A68" s="8"/>
      <c r="B68" s="11"/>
      <c r="C68" s="8"/>
      <c r="D68" s="8"/>
      <c r="E68" s="8"/>
      <c r="F68" s="9"/>
      <c r="G68" s="10"/>
      <c r="H68" s="11"/>
      <c r="I68" s="8"/>
      <c r="J68" s="11"/>
      <c r="K68" s="8"/>
    </row>
    <row r="69" ht="17" customHeight="1" spans="1:11" x14ac:dyDescent="0.25">
      <c r="A69" s="8"/>
      <c r="B69" s="11"/>
      <c r="C69" s="8"/>
      <c r="D69" s="8"/>
      <c r="E69" s="8"/>
      <c r="F69" s="9"/>
      <c r="G69" s="10"/>
      <c r="H69" s="11"/>
      <c r="I69" s="8"/>
      <c r="J69" s="11"/>
      <c r="K69" s="8"/>
    </row>
    <row r="70" ht="17" customHeight="1" spans="1:11" x14ac:dyDescent="0.25">
      <c r="A70" s="8"/>
      <c r="B70" s="11"/>
      <c r="C70" s="8"/>
      <c r="D70" s="8"/>
      <c r="E70" s="8"/>
      <c r="F70" s="9"/>
      <c r="G70" s="10"/>
      <c r="H70" s="11"/>
      <c r="I70" s="8"/>
      <c r="J70" s="11"/>
      <c r="K70" s="8"/>
    </row>
    <row r="71" ht="17" customHeight="1" spans="1:11" x14ac:dyDescent="0.25">
      <c r="A71" s="8"/>
      <c r="B71" s="11"/>
      <c r="C71" s="8"/>
      <c r="D71" s="8"/>
      <c r="E71" s="8"/>
      <c r="F71" s="9"/>
      <c r="G71" s="10"/>
      <c r="H71" s="11"/>
      <c r="I71" s="8"/>
      <c r="J71" s="11"/>
      <c r="K71" s="8"/>
    </row>
    <row r="72" ht="17" customHeight="1" spans="1:11" x14ac:dyDescent="0.25">
      <c r="A72" s="8"/>
      <c r="B72" s="11"/>
      <c r="C72" s="8"/>
      <c r="D72" s="8"/>
      <c r="E72" s="8"/>
      <c r="F72" s="9"/>
      <c r="G72" s="10"/>
      <c r="H72" s="11"/>
      <c r="I72" s="8"/>
      <c r="J72" s="11"/>
      <c r="K72" s="8"/>
    </row>
    <row r="73" ht="17" customHeight="1" spans="1:11" x14ac:dyDescent="0.25">
      <c r="A73" s="8"/>
      <c r="B73" s="11"/>
      <c r="C73" s="8"/>
      <c r="D73" s="8"/>
      <c r="E73" s="8"/>
      <c r="F73" s="9"/>
      <c r="G73" s="10"/>
      <c r="H73" s="11"/>
      <c r="I73" s="8"/>
      <c r="J73" s="11"/>
      <c r="K73" s="8"/>
    </row>
    <row r="74" ht="17" customHeight="1" spans="1:11" x14ac:dyDescent="0.25">
      <c r="A74" s="8"/>
      <c r="B74" s="11"/>
      <c r="C74" s="8"/>
      <c r="D74" s="8"/>
      <c r="E74" s="8"/>
      <c r="F74" s="9"/>
      <c r="G74" s="10"/>
      <c r="H74" s="11"/>
      <c r="I74" s="8"/>
      <c r="J74" s="11"/>
      <c r="K74" s="8"/>
    </row>
    <row r="75" ht="17" customHeight="1" spans="1:11" x14ac:dyDescent="0.25">
      <c r="A75" s="8"/>
      <c r="B75" s="11"/>
      <c r="C75" s="8"/>
      <c r="D75" s="8"/>
      <c r="E75" s="8"/>
      <c r="F75" s="9"/>
      <c r="G75" s="10"/>
      <c r="H75" s="11"/>
      <c r="I75" s="8"/>
      <c r="J75" s="11"/>
      <c r="K75" s="8"/>
    </row>
    <row r="76" ht="17" customHeight="1" spans="1:11" x14ac:dyDescent="0.25">
      <c r="A76" s="8"/>
      <c r="B76" s="11"/>
      <c r="C76" s="8"/>
      <c r="D76" s="8"/>
      <c r="E76" s="8"/>
      <c r="F76" s="9"/>
      <c r="G76" s="10"/>
      <c r="H76" s="11"/>
      <c r="I76" s="8"/>
      <c r="J76" s="11"/>
      <c r="K76" s="8"/>
    </row>
    <row r="77" ht="17" customHeight="1" spans="1:11" x14ac:dyDescent="0.25">
      <c r="A77" s="8"/>
      <c r="B77" s="11"/>
      <c r="C77" s="8"/>
      <c r="D77" s="8"/>
      <c r="E77" s="8"/>
      <c r="F77" s="9"/>
      <c r="G77" s="10"/>
      <c r="H77" s="11"/>
      <c r="I77" s="8"/>
      <c r="J77" s="11"/>
      <c r="K77" s="8"/>
    </row>
    <row r="78" ht="17" customHeight="1" spans="1:11" x14ac:dyDescent="0.25">
      <c r="A78" s="8"/>
      <c r="B78" s="11"/>
      <c r="C78" s="8"/>
      <c r="D78" s="8"/>
      <c r="E78" s="8"/>
      <c r="F78" s="9"/>
      <c r="G78" s="10"/>
      <c r="H78" s="11"/>
      <c r="I78" s="8"/>
      <c r="J78" s="11"/>
      <c r="K78" s="8"/>
    </row>
    <row r="79" ht="17" customHeight="1" spans="1:11" x14ac:dyDescent="0.25">
      <c r="A79" s="8"/>
      <c r="B79" s="11"/>
      <c r="C79" s="8"/>
      <c r="D79" s="8"/>
      <c r="E79" s="8"/>
      <c r="F79" s="9"/>
      <c r="G79" s="10"/>
      <c r="H79" s="11"/>
      <c r="I79" s="8"/>
      <c r="J79" s="11"/>
      <c r="K79" s="8"/>
    </row>
    <row r="80" ht="17" customHeight="1" spans="1:11" x14ac:dyDescent="0.25">
      <c r="A80" s="8"/>
      <c r="B80" s="11"/>
      <c r="C80" s="8"/>
      <c r="D80" s="8"/>
      <c r="E80" s="8"/>
      <c r="F80" s="9"/>
      <c r="G80" s="10"/>
      <c r="H80" s="11"/>
      <c r="I80" s="8"/>
      <c r="J80" s="11"/>
      <c r="K80" s="8"/>
    </row>
    <row r="81" ht="17" customHeight="1" spans="1:11" x14ac:dyDescent="0.25">
      <c r="A81" s="8"/>
      <c r="B81" s="11"/>
      <c r="C81" s="8"/>
      <c r="D81" s="8"/>
      <c r="E81" s="8"/>
      <c r="F81" s="9"/>
      <c r="G81" s="10"/>
      <c r="H81" s="11"/>
      <c r="I81" s="8"/>
      <c r="J81" s="11"/>
      <c r="K81" s="8"/>
    </row>
    <row r="82" ht="17" customHeight="1" spans="1:11" x14ac:dyDescent="0.25">
      <c r="A82" s="8"/>
      <c r="B82" s="11"/>
      <c r="C82" s="8"/>
      <c r="D82" s="8"/>
      <c r="E82" s="8"/>
      <c r="F82" s="9"/>
      <c r="G82" s="10"/>
      <c r="H82" s="11"/>
      <c r="I82" s="8"/>
      <c r="J82" s="11"/>
      <c r="K82" s="8"/>
    </row>
    <row r="83" ht="17" customHeight="1" spans="1:11" x14ac:dyDescent="0.25">
      <c r="A83" s="8"/>
      <c r="B83" s="11"/>
      <c r="C83" s="8"/>
      <c r="D83" s="8"/>
      <c r="E83" s="8"/>
      <c r="F83" s="9"/>
      <c r="G83" s="10"/>
      <c r="H83" s="11"/>
      <c r="I83" s="8"/>
      <c r="J83" s="11"/>
      <c r="K83" s="8"/>
    </row>
    <row r="84" ht="17" customHeight="1" spans="1:11" x14ac:dyDescent="0.25">
      <c r="A84" s="8"/>
      <c r="B84" s="11"/>
      <c r="C84" s="8"/>
      <c r="D84" s="8"/>
      <c r="E84" s="8"/>
      <c r="F84" s="9"/>
      <c r="G84" s="10"/>
      <c r="H84" s="11"/>
      <c r="I84" s="8"/>
      <c r="J84" s="11"/>
      <c r="K84" s="8"/>
    </row>
    <row r="85" ht="17" customHeight="1" spans="1:11" x14ac:dyDescent="0.25">
      <c r="A85" s="8"/>
      <c r="B85" s="11"/>
      <c r="C85" s="8"/>
      <c r="D85" s="8"/>
      <c r="E85" s="8"/>
      <c r="F85" s="9"/>
      <c r="G85" s="10"/>
      <c r="H85" s="11"/>
      <c r="I85" s="8"/>
      <c r="J85" s="11"/>
      <c r="K85" s="8"/>
    </row>
    <row r="86" ht="17" customHeight="1" spans="1:11" x14ac:dyDescent="0.25">
      <c r="A86" s="8"/>
      <c r="B86" s="11"/>
      <c r="C86" s="8"/>
      <c r="D86" s="8"/>
      <c r="E86" s="8"/>
      <c r="F86" s="9"/>
      <c r="G86" s="10"/>
      <c r="H86" s="11"/>
      <c r="I86" s="8"/>
      <c r="J86" s="11"/>
      <c r="K86" s="8"/>
    </row>
    <row r="87" ht="17" customHeight="1" spans="1:11" x14ac:dyDescent="0.25">
      <c r="A87" s="8"/>
      <c r="B87" s="11"/>
      <c r="C87" s="8"/>
      <c r="D87" s="8"/>
      <c r="E87" s="8"/>
      <c r="F87" s="9"/>
      <c r="G87" s="10"/>
      <c r="H87" s="11"/>
      <c r="I87" s="8"/>
      <c r="J87" s="11"/>
      <c r="K87" s="8"/>
    </row>
    <row r="88" ht="17" customHeight="1" spans="1:11" x14ac:dyDescent="0.25">
      <c r="A88" s="8"/>
      <c r="B88" s="11"/>
      <c r="C88" s="8"/>
      <c r="D88" s="8"/>
      <c r="E88" s="8"/>
      <c r="F88" s="9"/>
      <c r="G88" s="10"/>
      <c r="H88" s="11"/>
      <c r="I88" s="8"/>
      <c r="J88" s="11"/>
      <c r="K88" s="8"/>
    </row>
    <row r="89" ht="17" customHeight="1" spans="1:11" x14ac:dyDescent="0.25">
      <c r="A89" s="8"/>
      <c r="B89" s="11"/>
      <c r="C89" s="8"/>
      <c r="D89" s="8"/>
      <c r="E89" s="8"/>
      <c r="F89" s="9"/>
      <c r="G89" s="10"/>
      <c r="H89" s="11"/>
      <c r="I89" s="8"/>
      <c r="J89" s="11"/>
      <c r="K89" s="8"/>
    </row>
    <row r="90" ht="17" customHeight="1" spans="1:11" x14ac:dyDescent="0.25">
      <c r="A90" s="8"/>
      <c r="B90" s="11"/>
      <c r="C90" s="8"/>
      <c r="D90" s="8"/>
      <c r="E90" s="8"/>
      <c r="F90" s="9"/>
      <c r="G90" s="10"/>
      <c r="H90" s="11"/>
      <c r="I90" s="8"/>
      <c r="J90" s="11"/>
      <c r="K90" s="8"/>
    </row>
    <row r="91" ht="17" customHeight="1" spans="1:11" x14ac:dyDescent="0.25">
      <c r="A91" s="8"/>
      <c r="B91" s="11"/>
      <c r="C91" s="8"/>
      <c r="D91" s="8"/>
      <c r="E91" s="8"/>
      <c r="F91" s="9"/>
      <c r="G91" s="10"/>
      <c r="H91" s="11"/>
      <c r="I91" s="8"/>
      <c r="J91" s="11"/>
      <c r="K91" s="8"/>
    </row>
    <row r="92" ht="17" customHeight="1" spans="1:11" x14ac:dyDescent="0.25">
      <c r="A92" s="8"/>
      <c r="B92" s="11"/>
      <c r="C92" s="8"/>
      <c r="D92" s="8"/>
      <c r="E92" s="8"/>
      <c r="F92" s="9"/>
      <c r="G92" s="10"/>
      <c r="H92" s="11"/>
      <c r="I92" s="8"/>
      <c r="J92" s="11"/>
      <c r="K92" s="8"/>
    </row>
    <row r="93" ht="17" customHeight="1" spans="1:11" x14ac:dyDescent="0.25">
      <c r="A93" s="8"/>
      <c r="B93" s="11"/>
      <c r="C93" s="8"/>
      <c r="D93" s="8"/>
      <c r="E93" s="8"/>
      <c r="F93" s="9"/>
      <c r="G93" s="10"/>
      <c r="H93" s="11"/>
      <c r="I93" s="8"/>
      <c r="J93" s="11"/>
      <c r="K93" s="8"/>
    </row>
    <row r="94" ht="17" customHeight="1" spans="1:11" x14ac:dyDescent="0.25">
      <c r="A94" s="8"/>
      <c r="B94" s="11"/>
      <c r="C94" s="8"/>
      <c r="D94" s="8"/>
      <c r="E94" s="8"/>
      <c r="F94" s="9"/>
      <c r="G94" s="10"/>
      <c r="H94" s="11"/>
      <c r="I94" s="8"/>
      <c r="J94" s="11"/>
      <c r="K94" s="8"/>
    </row>
    <row r="95" ht="17" customHeight="1" spans="1:11" x14ac:dyDescent="0.25">
      <c r="A95" s="8"/>
      <c r="B95" s="11"/>
      <c r="C95" s="8"/>
      <c r="D95" s="8"/>
      <c r="E95" s="8"/>
      <c r="F95" s="9"/>
      <c r="G95" s="10"/>
      <c r="H95" s="11"/>
      <c r="I95" s="8"/>
      <c r="J95" s="11"/>
      <c r="K95" s="8"/>
    </row>
    <row r="96" ht="17" customHeight="1" spans="1:11" x14ac:dyDescent="0.25">
      <c r="A96" s="8"/>
      <c r="B96" s="11"/>
      <c r="C96" s="8"/>
      <c r="D96" s="8"/>
      <c r="E96" s="8"/>
      <c r="F96" s="9"/>
      <c r="G96" s="10"/>
      <c r="H96" s="11"/>
      <c r="I96" s="8"/>
      <c r="J96" s="11"/>
      <c r="K96" s="8"/>
    </row>
    <row r="97" ht="17" customHeight="1" spans="1:11" x14ac:dyDescent="0.25">
      <c r="A97" s="8"/>
      <c r="B97" s="11"/>
      <c r="C97" s="8"/>
      <c r="D97" s="8"/>
      <c r="E97" s="8"/>
      <c r="F97" s="9"/>
      <c r="G97" s="10"/>
      <c r="H97" s="11"/>
      <c r="I97" s="8"/>
      <c r="J97" s="11"/>
      <c r="K97" s="8"/>
    </row>
    <row r="98" ht="17" customHeight="1" spans="1:11" x14ac:dyDescent="0.25">
      <c r="A98" s="8"/>
      <c r="B98" s="11"/>
      <c r="C98" s="8"/>
      <c r="D98" s="8"/>
      <c r="E98" s="8"/>
      <c r="F98" s="9"/>
      <c r="G98" s="10"/>
      <c r="H98" s="11"/>
      <c r="I98" s="8"/>
      <c r="J98" s="11"/>
      <c r="K98" s="8"/>
    </row>
    <row r="99" ht="17" customHeight="1" spans="1:11" x14ac:dyDescent="0.25">
      <c r="A99" s="8"/>
      <c r="B99" s="11"/>
      <c r="C99" s="8"/>
      <c r="D99" s="8"/>
      <c r="E99" s="8"/>
      <c r="F99" s="9"/>
      <c r="G99" s="10"/>
      <c r="H99" s="11"/>
      <c r="I99" s="8"/>
      <c r="J99" s="11"/>
      <c r="K99" s="8"/>
    </row>
    <row r="100" ht="17" customHeight="1" spans="1:11" x14ac:dyDescent="0.25">
      <c r="A100" s="8"/>
      <c r="B100" s="11"/>
      <c r="C100" s="8"/>
      <c r="D100" s="8"/>
      <c r="E100" s="8"/>
      <c r="F100" s="9"/>
      <c r="G100" s="10"/>
      <c r="H100" s="11"/>
      <c r="I100" s="8"/>
      <c r="J100" s="11"/>
      <c r="K100" s="8"/>
    </row>
    <row r="101" ht="17" customHeight="1" spans="1:11" x14ac:dyDescent="0.25">
      <c r="A101" s="8"/>
      <c r="B101" s="11"/>
      <c r="C101" s="8"/>
      <c r="D101" s="8"/>
      <c r="E101" s="8"/>
      <c r="F101" s="9"/>
      <c r="G101" s="10"/>
      <c r="H101" s="11"/>
      <c r="I101" s="8"/>
      <c r="J101" s="11"/>
      <c r="K101" s="8"/>
    </row>
    <row r="102" ht="17" customHeight="1" spans="1:11" x14ac:dyDescent="0.25">
      <c r="A102" s="8"/>
      <c r="B102" s="11"/>
      <c r="C102" s="8"/>
      <c r="D102" s="8"/>
      <c r="E102" s="8"/>
      <c r="F102" s="9"/>
      <c r="G102" s="10"/>
      <c r="H102" s="11"/>
      <c r="I102" s="8"/>
      <c r="J102" s="11"/>
      <c r="K102" s="8"/>
    </row>
    <row r="103" ht="17" customHeight="1" spans="1:11" x14ac:dyDescent="0.25">
      <c r="A103" s="8"/>
      <c r="B103" s="11"/>
      <c r="C103" s="8"/>
      <c r="D103" s="8"/>
      <c r="E103" s="8"/>
      <c r="F103" s="9"/>
      <c r="G103" s="10"/>
      <c r="H103" s="11"/>
      <c r="I103" s="8"/>
      <c r="J103" s="11"/>
      <c r="K103" s="8"/>
    </row>
    <row r="104" ht="17" customHeight="1" spans="1:11" x14ac:dyDescent="0.25">
      <c r="A104" s="8"/>
      <c r="B104" s="11"/>
      <c r="C104" s="8"/>
      <c r="D104" s="8"/>
      <c r="E104" s="8"/>
      <c r="F104" s="9"/>
      <c r="G104" s="10"/>
      <c r="H104" s="11"/>
      <c r="I104" s="8"/>
      <c r="J104" s="11"/>
      <c r="K104" s="8"/>
    </row>
  </sheetData>
  <autoFilter ref="A4:K4"/>
  <conditionalFormatting sqref="D5:D104">
    <cfRule type="expression" dxfId="12" priority="1">
      <formula>AND($C5&lt;&gt;"",$D5&lt;&gt;"",IFERROR(VLOOKUP($C5,Реестр!$C$3:$D$202,2,0),"")&lt;&gt;"",IFERROR(VLOOKUP($C5,Реестр!$C$3:$D$202,2,0),"")&lt;&gt;$D5)</formula>
    </cfRule>
  </conditionalFormatting>
  <conditionalFormatting sqref="H5:H104">
    <cfRule type="expression" dxfId="13" priority="2">
      <formula>AND($H5&lt;&gt;"",$H5&lt;TODAY(),$I5&lt;&gt;"Закрыт",$I5&lt;&gt;"Оплачен")</formula>
    </cfRule>
  </conditionalFormatting>
  <dataValidations count="4">
    <dataValidation type="list" allowBlank="1" showErrorMessage="1" errorStyle="stop" errorTitle="Номер не из реестра" error="Договор заключается по закупке из реестра. Выберите номер процедуры из списка — если его нет, сначала заведите закупку на листе «Реестр»." sqref="C5:C104">
      <formula1>Реестр_Процедуры</formula1>
    </dataValidation>
    <dataValidation type="list" allowBlank="1" showErrorMessage="1" errorStyle="stop" errorTitle="Только из справочника" error="Название заказчика вписывать руками нельзя. Выберите из выпадающего списка. Нужного названия нет — сначала добавьте его на лист «Заказчики»." sqref="D5:D104">
      <formula1>Заказчики_Названия</formula1>
    </dataValidation>
    <dataValidation type="list" allowBlank="1" showErrorMessage="1" errorStyle="stop" errorTitle="Только из справочника" error="Название поставщика вписывать руками нельзя. Выберите из выпадающего списка. Нужного названия нет — сначала добавьте его на лист «Поставщики»." sqref="E5:E104">
      <formula1>Поставщики_Названия</formula1>
    </dataValidation>
    <dataValidation type="list" allowBlank="1" showErrorMessage="1" errorStyle="stop" errorTitle="Значение не из списка" error="Выберите значение из выпадающего списка." sqref="I5:I104">
      <formula1>Справочники!$A$82:$A$86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30" customWidth="1"/>
    <col min="3" max="3" width="22" customWidth="1"/>
    <col min="4" max="4" width="16" customWidth="1"/>
  </cols>
  <sheetData>
    <row r="1" ht="22" customHeight="1" spans="1:1" x14ac:dyDescent="0.25">
      <c r="A1" s="20" t="s">
        <v>214</v>
      </c>
    </row>
    <row r="2" ht="16" customHeight="1" spans="1:1" x14ac:dyDescent="0.25">
      <c r="A2" s="21" t="s">
        <v>215</v>
      </c>
    </row>
    <row r="4" spans="1:3" x14ac:dyDescent="0.25">
      <c r="A4" s="22" t="s">
        <v>216</v>
      </c>
      <c r="B4" s="23">
        <v>85.6007</v>
      </c>
      <c r="C4" s="21" t="s">
        <v>217</v>
      </c>
    </row>
    <row r="6" spans="1:1" x14ac:dyDescent="0.25">
      <c r="A6" s="22" t="s">
        <v>218</v>
      </c>
    </row>
    <row r="7" spans="1:3" x14ac:dyDescent="0.25">
      <c r="A7" s="24" t="s">
        <v>12</v>
      </c>
      <c r="B7" s="24" t="s">
        <v>42</v>
      </c>
      <c r="C7" s="24" t="s">
        <v>219</v>
      </c>
    </row>
    <row r="8" spans="1:3" x14ac:dyDescent="0.25">
      <c r="A8" s="25" t="s">
        <v>48</v>
      </c>
      <c r="B8" s="25" t="s">
        <v>0</v>
      </c>
      <c r="C8" s="25" t="s">
        <v>220</v>
      </c>
    </row>
    <row r="9" spans="1:3" x14ac:dyDescent="0.25">
      <c r="A9" s="25" t="s">
        <v>221</v>
      </c>
      <c r="B9" s="25" t="s">
        <v>0</v>
      </c>
      <c r="C9" s="25" t="s">
        <v>220</v>
      </c>
    </row>
    <row r="10" spans="1:3" x14ac:dyDescent="0.25">
      <c r="A10" s="25" t="s">
        <v>222</v>
      </c>
      <c r="B10" s="25" t="s">
        <v>0</v>
      </c>
      <c r="C10" s="25" t="s">
        <v>223</v>
      </c>
    </row>
    <row r="11" spans="1:3" x14ac:dyDescent="0.25">
      <c r="A11" s="25" t="s">
        <v>56</v>
      </c>
      <c r="B11" s="25" t="s">
        <v>1</v>
      </c>
      <c r="C11" s="25" t="s">
        <v>224</v>
      </c>
    </row>
    <row r="12" spans="1:3" x14ac:dyDescent="0.25">
      <c r="A12" s="25" t="s">
        <v>68</v>
      </c>
      <c r="B12" s="25" t="s">
        <v>1</v>
      </c>
      <c r="C12" s="25" t="s">
        <v>224</v>
      </c>
    </row>
    <row r="13" spans="1:3" x14ac:dyDescent="0.25">
      <c r="A13" s="25" t="s">
        <v>81</v>
      </c>
      <c r="B13" s="25" t="s">
        <v>2</v>
      </c>
      <c r="C13" s="25" t="s">
        <v>224</v>
      </c>
    </row>
    <row r="14" spans="1:3" x14ac:dyDescent="0.25">
      <c r="A14" s="25" t="s">
        <v>225</v>
      </c>
      <c r="B14" s="25" t="s">
        <v>3</v>
      </c>
      <c r="C14" s="25" t="s">
        <v>226</v>
      </c>
    </row>
    <row r="15" spans="1:3" x14ac:dyDescent="0.25">
      <c r="A15" s="25" t="s">
        <v>91</v>
      </c>
      <c r="B15" s="25" t="s">
        <v>3</v>
      </c>
      <c r="C15" s="25" t="s">
        <v>226</v>
      </c>
    </row>
    <row r="16" spans="1:3" x14ac:dyDescent="0.25">
      <c r="A16" s="25" t="s">
        <v>227</v>
      </c>
      <c r="B16" s="25" t="s">
        <v>3</v>
      </c>
      <c r="C16" s="25" t="s">
        <v>226</v>
      </c>
    </row>
    <row r="17" spans="1:3" x14ac:dyDescent="0.25">
      <c r="A17" s="25" t="s">
        <v>112</v>
      </c>
      <c r="B17" s="25" t="s">
        <v>228</v>
      </c>
      <c r="C17" s="25" t="s">
        <v>229</v>
      </c>
    </row>
    <row r="18" spans="1:3" x14ac:dyDescent="0.25">
      <c r="A18" s="25" t="s">
        <v>99</v>
      </c>
      <c r="B18" s="25" t="s">
        <v>3</v>
      </c>
      <c r="C18" s="25" t="s">
        <v>223</v>
      </c>
    </row>
    <row r="19" spans="1:3" x14ac:dyDescent="0.25">
      <c r="A19" s="25" t="s">
        <v>230</v>
      </c>
      <c r="B19" s="25" t="s">
        <v>3</v>
      </c>
      <c r="C19" s="25" t="s">
        <v>223</v>
      </c>
    </row>
    <row r="20" spans="1:3" x14ac:dyDescent="0.25">
      <c r="A20" s="25" t="s">
        <v>107</v>
      </c>
      <c r="B20" s="25" t="s">
        <v>228</v>
      </c>
      <c r="C20" s="25" t="s">
        <v>229</v>
      </c>
    </row>
    <row r="21" spans="1:3" x14ac:dyDescent="0.25">
      <c r="A21" s="25" t="s">
        <v>231</v>
      </c>
      <c r="B21" s="25" t="s">
        <v>228</v>
      </c>
      <c r="C21" s="25" t="s">
        <v>229</v>
      </c>
    </row>
    <row r="22" spans="1:3" x14ac:dyDescent="0.25">
      <c r="A22" s="25" t="s">
        <v>232</v>
      </c>
      <c r="B22" s="25" t="s">
        <v>228</v>
      </c>
      <c r="C22" s="25" t="s">
        <v>229</v>
      </c>
    </row>
    <row r="24" spans="1:1" x14ac:dyDescent="0.25">
      <c r="A24" s="26" t="s">
        <v>233</v>
      </c>
    </row>
    <row r="25" spans="1:1" x14ac:dyDescent="0.25">
      <c r="A25" s="25" t="s">
        <v>44</v>
      </c>
    </row>
    <row r="26" spans="1:1" x14ac:dyDescent="0.25">
      <c r="A26" s="25" t="s">
        <v>52</v>
      </c>
    </row>
    <row r="28" spans="1:1" x14ac:dyDescent="0.25">
      <c r="A28" s="26" t="s">
        <v>234</v>
      </c>
    </row>
    <row r="29" spans="1:1" x14ac:dyDescent="0.25">
      <c r="A29" s="25" t="s">
        <v>60</v>
      </c>
    </row>
    <row r="30" spans="1:1" x14ac:dyDescent="0.25">
      <c r="A30" s="25" t="s">
        <v>72</v>
      </c>
    </row>
    <row r="32" spans="1:1" x14ac:dyDescent="0.25">
      <c r="A32" s="26" t="s">
        <v>16</v>
      </c>
    </row>
    <row r="33" spans="1:1" x14ac:dyDescent="0.25">
      <c r="A33" s="25" t="s">
        <v>63</v>
      </c>
    </row>
    <row r="34" spans="1:1" x14ac:dyDescent="0.25">
      <c r="A34" s="25" t="s">
        <v>59</v>
      </c>
    </row>
    <row r="35" spans="1:1" x14ac:dyDescent="0.25">
      <c r="A35" s="25" t="s">
        <v>77</v>
      </c>
    </row>
    <row r="36" spans="1:1" x14ac:dyDescent="0.25">
      <c r="A36" s="25" t="s">
        <v>71</v>
      </c>
    </row>
    <row r="37" spans="1:1" x14ac:dyDescent="0.25">
      <c r="A37" s="25" t="s">
        <v>83</v>
      </c>
    </row>
    <row r="39" spans="1:1" x14ac:dyDescent="0.25">
      <c r="A39" s="26" t="s">
        <v>22</v>
      </c>
    </row>
    <row r="40" spans="1:1" x14ac:dyDescent="0.25">
      <c r="A40" s="25" t="s">
        <v>62</v>
      </c>
    </row>
    <row r="41" spans="1:1" x14ac:dyDescent="0.25">
      <c r="A41" s="25" t="s">
        <v>74</v>
      </c>
    </row>
    <row r="43" spans="1:1" x14ac:dyDescent="0.25">
      <c r="A43" s="26" t="s">
        <v>24</v>
      </c>
    </row>
    <row r="44" spans="1:1" x14ac:dyDescent="0.25">
      <c r="A44" s="25" t="s">
        <v>63</v>
      </c>
    </row>
    <row r="45" spans="1:1" x14ac:dyDescent="0.25">
      <c r="A45" s="25" t="s">
        <v>75</v>
      </c>
    </row>
    <row r="46" spans="1:1" x14ac:dyDescent="0.25">
      <c r="A46" s="25" t="s">
        <v>85</v>
      </c>
    </row>
    <row r="47" spans="1:1" x14ac:dyDescent="0.25">
      <c r="A47" s="25" t="s">
        <v>109</v>
      </c>
    </row>
    <row r="49" spans="1:1" x14ac:dyDescent="0.25">
      <c r="A49" s="26" t="s">
        <v>26</v>
      </c>
    </row>
    <row r="50" spans="1:1" x14ac:dyDescent="0.25">
      <c r="A50" s="25" t="s">
        <v>64</v>
      </c>
    </row>
    <row r="51" spans="1:1" x14ac:dyDescent="0.25">
      <c r="A51" s="25" t="s">
        <v>77</v>
      </c>
    </row>
    <row r="52" spans="1:1" x14ac:dyDescent="0.25">
      <c r="A52" s="25" t="s">
        <v>87</v>
      </c>
    </row>
    <row r="53" spans="1:1" x14ac:dyDescent="0.25">
      <c r="A53" s="25" t="s">
        <v>235</v>
      </c>
    </row>
    <row r="55" spans="1:1" x14ac:dyDescent="0.25">
      <c r="A55" s="26" t="s">
        <v>35</v>
      </c>
    </row>
    <row r="56" spans="1:1" x14ac:dyDescent="0.25">
      <c r="A56" s="25" t="s">
        <v>112</v>
      </c>
    </row>
    <row r="57" spans="1:1" x14ac:dyDescent="0.25">
      <c r="A57" s="25" t="s">
        <v>99</v>
      </c>
    </row>
    <row r="58" spans="1:1" x14ac:dyDescent="0.25">
      <c r="A58" s="25" t="s">
        <v>230</v>
      </c>
    </row>
    <row r="60" spans="1:1" x14ac:dyDescent="0.25">
      <c r="A60" s="26" t="s">
        <v>13</v>
      </c>
    </row>
    <row r="61" spans="1:1" x14ac:dyDescent="0.25">
      <c r="A61" s="25" t="s">
        <v>57</v>
      </c>
    </row>
    <row r="62" spans="1:1" x14ac:dyDescent="0.25">
      <c r="A62" s="25" t="s">
        <v>49</v>
      </c>
    </row>
    <row r="63" spans="1:1" x14ac:dyDescent="0.25">
      <c r="A63" s="25" t="s">
        <v>236</v>
      </c>
    </row>
    <row r="65" spans="1:1" x14ac:dyDescent="0.25">
      <c r="A65" s="26" t="s">
        <v>237</v>
      </c>
    </row>
    <row r="66" spans="1:2" x14ac:dyDescent="0.25">
      <c r="A66" s="25" t="s">
        <v>238</v>
      </c>
      <c r="B66" s="27" t="s">
        <v>239</v>
      </c>
    </row>
    <row r="67" spans="1:1" x14ac:dyDescent="0.25">
      <c r="A67" s="25" t="s">
        <v>240</v>
      </c>
    </row>
    <row r="68" spans="1:1" x14ac:dyDescent="0.25">
      <c r="A68" s="25" t="s">
        <v>241</v>
      </c>
    </row>
    <row r="69" spans="1:1" x14ac:dyDescent="0.25">
      <c r="A69" s="25" t="s">
        <v>242</v>
      </c>
    </row>
    <row r="70" spans="1:1" x14ac:dyDescent="0.25">
      <c r="A70" s="25" t="s">
        <v>243</v>
      </c>
    </row>
    <row r="71" spans="1:1" x14ac:dyDescent="0.25">
      <c r="A71" s="25" t="s">
        <v>244</v>
      </c>
    </row>
    <row r="72" spans="1:1" x14ac:dyDescent="0.25">
      <c r="A72" s="25" t="s">
        <v>245</v>
      </c>
    </row>
    <row r="73" spans="1:2" x14ac:dyDescent="0.25">
      <c r="A73" s="25" t="s">
        <v>104</v>
      </c>
      <c r="B73" s="27" t="s">
        <v>246</v>
      </c>
    </row>
    <row r="74" spans="1:1" x14ac:dyDescent="0.25">
      <c r="A74" s="25" t="s">
        <v>247</v>
      </c>
    </row>
    <row r="75" spans="1:1" x14ac:dyDescent="0.25">
      <c r="A75" s="25" t="s">
        <v>248</v>
      </c>
    </row>
    <row r="76" spans="1:1" x14ac:dyDescent="0.25">
      <c r="A76" s="25" t="s">
        <v>249</v>
      </c>
    </row>
    <row r="77" spans="1:1" x14ac:dyDescent="0.25">
      <c r="A77" s="25" t="s">
        <v>250</v>
      </c>
    </row>
    <row r="78" spans="1:1" x14ac:dyDescent="0.25">
      <c r="A78" s="25" t="s">
        <v>251</v>
      </c>
    </row>
    <row r="79" spans="1:1" x14ac:dyDescent="0.25">
      <c r="A79" s="25" t="s">
        <v>252</v>
      </c>
    </row>
    <row r="81" spans="1:1" x14ac:dyDescent="0.25">
      <c r="A81" s="26" t="s">
        <v>40</v>
      </c>
    </row>
    <row r="82" spans="1:1" x14ac:dyDescent="0.25">
      <c r="A82" s="25" t="s">
        <v>253</v>
      </c>
    </row>
    <row r="83" spans="1:1" x14ac:dyDescent="0.25">
      <c r="A83" s="25" t="s">
        <v>114</v>
      </c>
    </row>
    <row r="84" spans="1:1" x14ac:dyDescent="0.25">
      <c r="A84" s="25" t="s">
        <v>254</v>
      </c>
    </row>
    <row r="85" spans="1:1" x14ac:dyDescent="0.25">
      <c r="A85" s="25" t="s">
        <v>255</v>
      </c>
    </row>
    <row r="86" spans="1:1" x14ac:dyDescent="0.25">
      <c r="A86" s="25" t="s">
        <v>256</v>
      </c>
    </row>
    <row r="88" spans="1:1" x14ac:dyDescent="0.25">
      <c r="A88" s="26" t="s">
        <v>257</v>
      </c>
    </row>
    <row r="89" spans="1:1" x14ac:dyDescent="0.25">
      <c r="A89" s="25" t="s">
        <v>0</v>
      </c>
    </row>
    <row r="90" spans="1:1" x14ac:dyDescent="0.25">
      <c r="A90" s="25" t="s">
        <v>1</v>
      </c>
    </row>
    <row r="91" spans="1:1" x14ac:dyDescent="0.25">
      <c r="A91" s="25" t="s">
        <v>2</v>
      </c>
    </row>
    <row r="92" spans="1:1" x14ac:dyDescent="0.25">
      <c r="A92" s="25" t="s">
        <v>3</v>
      </c>
    </row>
    <row r="93" spans="1:1" x14ac:dyDescent="0.25">
      <c r="A93" s="25" t="s">
        <v>228</v>
      </c>
    </row>
    <row r="95" spans="1:2" x14ac:dyDescent="0.25">
      <c r="A95" s="26" t="s">
        <v>258</v>
      </c>
      <c r="B95" s="21" t="s">
        <v>259</v>
      </c>
    </row>
    <row r="96" spans="1:1" x14ac:dyDescent="0.25">
      <c r="A96" s="25" t="s">
        <v>51</v>
      </c>
    </row>
    <row r="97" spans="1:1" x14ac:dyDescent="0.25">
      <c r="A97" s="25" t="s">
        <v>70</v>
      </c>
    </row>
    <row r="98" spans="1:1" x14ac:dyDescent="0.25">
      <c r="A98" s="25" t="s">
        <v>96</v>
      </c>
    </row>
    <row r="100" spans="1:2" x14ac:dyDescent="0.25">
      <c r="A100" s="22" t="s">
        <v>260</v>
      </c>
      <c r="B100" s="21" t="s">
        <v>261</v>
      </c>
    </row>
    <row r="101" spans="1:2" x14ac:dyDescent="0.25">
      <c r="A101" s="24" t="s">
        <v>262</v>
      </c>
      <c r="B101" s="24" t="s">
        <v>263</v>
      </c>
    </row>
    <row r="102" spans="1:2" x14ac:dyDescent="0.25">
      <c r="A102" s="25" t="s">
        <v>264</v>
      </c>
      <c r="B102" s="25" t="s">
        <v>265</v>
      </c>
    </row>
    <row r="103" spans="1:2" x14ac:dyDescent="0.25">
      <c r="A103" s="25" t="s">
        <v>266</v>
      </c>
      <c r="B103" s="25" t="s">
        <v>267</v>
      </c>
    </row>
    <row r="104" spans="1:2" x14ac:dyDescent="0.25">
      <c r="A104" s="25" t="s">
        <v>268</v>
      </c>
      <c r="B104" s="25" t="s">
        <v>269</v>
      </c>
    </row>
    <row r="105" spans="1:2" x14ac:dyDescent="0.25">
      <c r="A105" s="25" t="s">
        <v>270</v>
      </c>
      <c r="B105" s="25" t="s">
        <v>271</v>
      </c>
    </row>
    <row r="106" spans="1:2" x14ac:dyDescent="0.25">
      <c r="A106" s="25" t="s">
        <v>272</v>
      </c>
      <c r="B106" s="25" t="s">
        <v>273</v>
      </c>
    </row>
    <row r="107" spans="1:2" x14ac:dyDescent="0.25">
      <c r="A107" s="25" t="s">
        <v>274</v>
      </c>
      <c r="B107" s="25" t="s">
        <v>275</v>
      </c>
    </row>
    <row r="108" spans="1:2" x14ac:dyDescent="0.25">
      <c r="A108" s="25" t="s">
        <v>276</v>
      </c>
      <c r="B108" s="25" t="s">
        <v>277</v>
      </c>
    </row>
    <row r="109" spans="1:2" x14ac:dyDescent="0.25">
      <c r="A109" s="25" t="s">
        <v>278</v>
      </c>
      <c r="B109" s="25" t="s">
        <v>279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20" customWidth="1"/>
    <col min="3" max="4" width="22" customWidth="1"/>
  </cols>
  <sheetData>
    <row r="1" ht="22" customHeight="1" spans="1:1" x14ac:dyDescent="0.25">
      <c r="A1" s="20" t="s">
        <v>280</v>
      </c>
    </row>
    <row r="2" ht="16" customHeight="1" spans="1:1" x14ac:dyDescent="0.25">
      <c r="A2" s="21" t="s">
        <v>281</v>
      </c>
    </row>
    <row r="4" spans="1:2" x14ac:dyDescent="0.25">
      <c r="A4" s="28" t="s">
        <v>282</v>
      </c>
      <c r="B4" s="29" t="s">
        <v>283</v>
      </c>
    </row>
    <row r="5" ht="28" customHeight="1" spans="1:3" x14ac:dyDescent="0.25">
      <c r="A5" s="30" t="s">
        <v>42</v>
      </c>
      <c r="B5" s="6" t="s">
        <v>284</v>
      </c>
      <c r="C5" s="6" t="s">
        <v>285</v>
      </c>
    </row>
    <row r="6" ht="17" customHeight="1" spans="1:3" x14ac:dyDescent="0.25">
      <c r="A6" s="8" t="s">
        <v>0</v>
      </c>
      <c r="B6" s="31">
        <f>COUNTIF(Реестр!$AL$3:$AL$202,"Мониторинг")</f>
      </c>
      <c r="C6" s="32">
        <f>SUMIF(Реестр!$AL$3:$AL$202,"Мониторинг",Реестр!$F$3:$F$202)</f>
      </c>
    </row>
    <row r="7" ht="17" customHeight="1" spans="1:3" x14ac:dyDescent="0.25">
      <c r="A7" s="8" t="s">
        <v>1</v>
      </c>
      <c r="B7" s="31">
        <f>COUNTIF(Реестр!$AL$3:$AL$202,"Подготовка заявки")</f>
      </c>
      <c r="C7" s="32">
        <f>SUMIF(Реестр!$AL$3:$AL$202,"Подготовка заявки",Реестр!$F$3:$F$202)</f>
      </c>
    </row>
    <row r="8" ht="17" customHeight="1" spans="1:3" x14ac:dyDescent="0.25">
      <c r="A8" s="8" t="s">
        <v>2</v>
      </c>
      <c r="B8" s="31">
        <f>COUNTIF(Реестр!$AL$3:$AL$202,"Подача")</f>
      </c>
      <c r="C8" s="32">
        <f>SUMIF(Реестр!$AL$3:$AL$202,"Подача",Реестр!$F$3:$F$202)</f>
      </c>
    </row>
    <row r="9" ht="17" customHeight="1" spans="1:3" x14ac:dyDescent="0.25">
      <c r="A9" s="8" t="s">
        <v>3</v>
      </c>
      <c r="B9" s="31">
        <f>COUNTIF(Реестр!$AL$3:$AL$202,"Подведение итогов")</f>
      </c>
      <c r="C9" s="32">
        <f>SUMIF(Реестр!$AL$3:$AL$202,"Подведение итогов",Реестр!$F$3:$F$202)</f>
      </c>
    </row>
    <row r="10" ht="17" customHeight="1" spans="1:3" x14ac:dyDescent="0.25">
      <c r="A10" s="8" t="s">
        <v>228</v>
      </c>
      <c r="B10" s="31">
        <f>COUNTIF(Реестр!$AL$3:$AL$202,"Договор")</f>
      </c>
      <c r="C10" s="32">
        <f>SUMIF(Реестр!$AL$3:$AL$202,"Договор",Реестр!$F$3:$F$202)</f>
      </c>
    </row>
    <row r="11" ht="17" customHeight="1" spans="1:3" x14ac:dyDescent="0.25">
      <c r="A11" s="8" t="s">
        <v>286</v>
      </c>
      <c r="B11" s="31">
        <f>COUNT(Реестр!$A$3:$A$202)-SUM(B6:B10)</f>
      </c>
      <c r="C11" s="32">
        <f>SUM(Реестр!$F$3:$F$202)-SUM(C6:C10)</f>
      </c>
    </row>
    <row r="12" ht="17" customHeight="1" spans="1:3" x14ac:dyDescent="0.25">
      <c r="A12" s="33" t="s">
        <v>287</v>
      </c>
      <c r="B12" s="34">
        <f>SUM(B6:B11)</f>
      </c>
      <c r="C12" s="35">
        <f>SUM(C6:C11)</f>
      </c>
    </row>
    <row r="14" spans="1:2" x14ac:dyDescent="0.25">
      <c r="A14" s="28" t="s">
        <v>288</v>
      </c>
      <c r="B14" s="29" t="s">
        <v>289</v>
      </c>
    </row>
    <row r="15" ht="28" customHeight="1" spans="1:4" x14ac:dyDescent="0.25">
      <c r="A15" s="30" t="s">
        <v>290</v>
      </c>
      <c r="B15" s="6" t="s">
        <v>291</v>
      </c>
      <c r="C15" s="6" t="s">
        <v>285</v>
      </c>
      <c r="D15" s="6" t="s">
        <v>292</v>
      </c>
    </row>
    <row r="16" ht="17" customHeight="1" spans="1:4" x14ac:dyDescent="0.25">
      <c r="A16" s="8" t="s">
        <v>112</v>
      </c>
      <c r="B16" s="31">
        <f>COUNTIF(Реестр!$AM$3:$AM$202,"Выиграна")</f>
      </c>
      <c r="C16" s="32">
        <f>SUMIF(Реестр!$AM$3:$AM$202,"Выиграна",Реестр!$F$3:$F$202)</f>
      </c>
      <c r="D16" s="32">
        <f>SUMIF(Реестр!$AM$3:$AM$202,"Выиграна",Реестр!$AI$3:$AI$202)</f>
      </c>
    </row>
    <row r="17" ht="17" customHeight="1" spans="1:4" x14ac:dyDescent="0.25">
      <c r="A17" s="8" t="s">
        <v>99</v>
      </c>
      <c r="B17" s="31">
        <f>COUNTIF(Реестр!$AM$3:$AM$202,"Проиграна")</f>
      </c>
      <c r="C17" s="32">
        <f>SUMIF(Реестр!$AM$3:$AM$202,"Проиграна",Реестр!$F$3:$F$202)</f>
      </c>
      <c r="D17" s="32">
        <f>SUMIF(Реестр!$AM$3:$AM$202,"Проиграна",Реестр!$AI$3:$AI$202)</f>
      </c>
    </row>
    <row r="18" ht="17" customHeight="1" spans="1:4" x14ac:dyDescent="0.25">
      <c r="A18" s="8" t="s">
        <v>230</v>
      </c>
      <c r="B18" s="31">
        <f>COUNTIF(Реестр!$AM$3:$AM$202,"Отменена заказчиком")</f>
      </c>
      <c r="C18" s="32">
        <f>SUMIF(Реестр!$AM$3:$AM$202,"Отменена заказчиком",Реестр!$F$3:$F$202)</f>
      </c>
      <c r="D18" s="32">
        <f>SUMIF(Реестр!$AM$3:$AM$202,"Отменена заказчиком",Реестр!$AI$3:$AI$202)</f>
      </c>
    </row>
    <row r="19" ht="17" customHeight="1" spans="1:4" x14ac:dyDescent="0.25">
      <c r="A19" s="33" t="s">
        <v>293</v>
      </c>
      <c r="B19" s="34">
        <f>SUM(B16:B18)</f>
      </c>
      <c r="C19" s="35">
        <f>SUM(C16:C18)</f>
      </c>
      <c r="D19" s="35">
        <f>SUM(D16:D18)</f>
      </c>
    </row>
    <row r="20" ht="17" customHeight="1" spans="1:3" x14ac:dyDescent="0.25">
      <c r="A20" s="19" t="s">
        <v>294</v>
      </c>
      <c r="B20" s="36">
        <f>IF(B19=0,"",B16/B19)</f>
      </c>
      <c r="C20" s="29" t="s">
        <v>295</v>
      </c>
    </row>
    <row r="22" spans="1:2" x14ac:dyDescent="0.25">
      <c r="A22" s="28" t="s">
        <v>296</v>
      </c>
      <c r="B22" s="29" t="s">
        <v>297</v>
      </c>
    </row>
    <row r="23" ht="28" customHeight="1" spans="1:4" x14ac:dyDescent="0.25">
      <c r="A23" s="30" t="s">
        <v>12</v>
      </c>
      <c r="B23" s="6" t="s">
        <v>284</v>
      </c>
      <c r="C23" s="6" t="s">
        <v>285</v>
      </c>
      <c r="D23" s="6" t="s">
        <v>292</v>
      </c>
    </row>
    <row r="24" ht="17" customHeight="1" spans="1:4" x14ac:dyDescent="0.25">
      <c r="A24" s="37" t="s">
        <v>48</v>
      </c>
      <c r="B24" s="38">
        <f>COUNTIF(Реестр!$H$3:$H$202,"Новая")</f>
      </c>
      <c r="C24" s="39">
        <f>SUMIF(Реестр!$H$3:$H$202,"Новая",Реестр!$F$3:$F$202)</f>
      </c>
      <c r="D24" s="39">
        <f>SUMIF(Реестр!$H$3:$H$202,"Новая",Реестр!$AI$3:$AI$202)</f>
      </c>
    </row>
    <row r="25" ht="17" customHeight="1" spans="1:4" x14ac:dyDescent="0.25">
      <c r="A25" s="37" t="s">
        <v>221</v>
      </c>
      <c r="B25" s="38">
        <f>COUNTIF(Реестр!$H$3:$H$202,"На рассмотрении")</f>
      </c>
      <c r="C25" s="39">
        <f>SUMIF(Реестр!$H$3:$H$202,"На рассмотрении",Реестр!$F$3:$F$202)</f>
      </c>
      <c r="D25" s="39">
        <f>SUMIF(Реестр!$H$3:$H$202,"На рассмотрении",Реестр!$AI$3:$AI$202)</f>
      </c>
    </row>
    <row r="26" ht="17" customHeight="1" spans="1:4" x14ac:dyDescent="0.25">
      <c r="A26" s="40" t="s">
        <v>222</v>
      </c>
      <c r="B26" s="41">
        <f>COUNTIF(Реестр!$H$3:$H$202,"Не участвуем")</f>
      </c>
      <c r="C26" s="42">
        <f>SUMIF(Реестр!$H$3:$H$202,"Не участвуем",Реестр!$F$3:$F$202)</f>
      </c>
      <c r="D26" s="42">
        <f>SUMIF(Реестр!$H$3:$H$202,"Не участвуем",Реестр!$AI$3:$AI$202)</f>
      </c>
    </row>
    <row r="27" ht="17" customHeight="1" spans="1:4" x14ac:dyDescent="0.25">
      <c r="A27" s="43" t="s">
        <v>56</v>
      </c>
      <c r="B27" s="44">
        <f>COUNTIF(Реестр!$H$3:$H$202,"Взята в работу")</f>
      </c>
      <c r="C27" s="45">
        <f>SUMIF(Реестр!$H$3:$H$202,"Взята в работу",Реестр!$F$3:$F$202)</f>
      </c>
      <c r="D27" s="45">
        <f>SUMIF(Реестр!$H$3:$H$202,"Взята в работу",Реестр!$AI$3:$AI$202)</f>
      </c>
    </row>
    <row r="28" ht="17" customHeight="1" spans="1:4" x14ac:dyDescent="0.25">
      <c r="A28" s="43" t="s">
        <v>68</v>
      </c>
      <c r="B28" s="44">
        <f>COUNTIF(Реестр!$H$3:$H$202,"Готовится заявка")</f>
      </c>
      <c r="C28" s="45">
        <f>SUMIF(Реестр!$H$3:$H$202,"Готовится заявка",Реестр!$F$3:$F$202)</f>
      </c>
      <c r="D28" s="45">
        <f>SUMIF(Реестр!$H$3:$H$202,"Готовится заявка",Реестр!$AI$3:$AI$202)</f>
      </c>
    </row>
    <row r="29" ht="17" customHeight="1" spans="1:4" x14ac:dyDescent="0.25">
      <c r="A29" s="43" t="s">
        <v>81</v>
      </c>
      <c r="B29" s="44">
        <f>COUNTIF(Реестр!$H$3:$H$202,"Заявка подана")</f>
      </c>
      <c r="C29" s="45">
        <f>SUMIF(Реестр!$H$3:$H$202,"Заявка подана",Реестр!$F$3:$F$202)</f>
      </c>
      <c r="D29" s="45">
        <f>SUMIF(Реестр!$H$3:$H$202,"Заявка подана",Реестр!$AI$3:$AI$202)</f>
      </c>
    </row>
    <row r="30" ht="17" customHeight="1" spans="1:4" x14ac:dyDescent="0.25">
      <c r="A30" s="46" t="s">
        <v>225</v>
      </c>
      <c r="B30" s="47">
        <f>COUNTIF(Реестр!$H$3:$H$202,"Переговоры")</f>
      </c>
      <c r="C30" s="48">
        <f>SUMIF(Реестр!$H$3:$H$202,"Переговоры",Реестр!$F$3:$F$202)</f>
      </c>
      <c r="D30" s="48">
        <f>SUMIF(Реестр!$H$3:$H$202,"Переговоры",Реестр!$AI$3:$AI$202)</f>
      </c>
    </row>
    <row r="31" ht="17" customHeight="1" spans="1:4" x14ac:dyDescent="0.25">
      <c r="A31" s="46" t="s">
        <v>91</v>
      </c>
      <c r="B31" s="47">
        <f>COUNTIF(Реестр!$H$3:$H$202,"Переторжка")</f>
      </c>
      <c r="C31" s="48">
        <f>SUMIF(Реестр!$H$3:$H$202,"Переторжка",Реестр!$F$3:$F$202)</f>
      </c>
      <c r="D31" s="48">
        <f>SUMIF(Реестр!$H$3:$H$202,"Переторжка",Реестр!$AI$3:$AI$202)</f>
      </c>
    </row>
    <row r="32" ht="17" customHeight="1" spans="1:4" x14ac:dyDescent="0.25">
      <c r="A32" s="46" t="s">
        <v>227</v>
      </c>
      <c r="B32" s="47">
        <f>COUNTIF(Реестр!$H$3:$H$202,"Работа комиссии")</f>
      </c>
      <c r="C32" s="48">
        <f>SUMIF(Реестр!$H$3:$H$202,"Работа комиссии",Реестр!$F$3:$F$202)</f>
      </c>
      <c r="D32" s="48">
        <f>SUMIF(Реестр!$H$3:$H$202,"Работа комиссии",Реестр!$AI$3:$AI$202)</f>
      </c>
    </row>
    <row r="33" ht="17" customHeight="1" spans="1:4" x14ac:dyDescent="0.25">
      <c r="A33" s="49" t="s">
        <v>112</v>
      </c>
      <c r="B33" s="50">
        <f>COUNTIF(Реестр!$H$3:$H$202,"Выиграна")</f>
      </c>
      <c r="C33" s="51">
        <f>SUMIF(Реестр!$H$3:$H$202,"Выиграна",Реестр!$F$3:$F$202)</f>
      </c>
      <c r="D33" s="51">
        <f>SUMIF(Реестр!$H$3:$H$202,"Выиграна",Реестр!$AI$3:$AI$202)</f>
      </c>
    </row>
    <row r="34" ht="17" customHeight="1" spans="1:4" x14ac:dyDescent="0.25">
      <c r="A34" s="40" t="s">
        <v>99</v>
      </c>
      <c r="B34" s="41">
        <f>COUNTIF(Реестр!$H$3:$H$202,"Проиграна")</f>
      </c>
      <c r="C34" s="42">
        <f>SUMIF(Реестр!$H$3:$H$202,"Проиграна",Реестр!$F$3:$F$202)</f>
      </c>
      <c r="D34" s="42">
        <f>SUMIF(Реестр!$H$3:$H$202,"Проиграна",Реестр!$AI$3:$AI$202)</f>
      </c>
    </row>
    <row r="35" ht="17" customHeight="1" spans="1:4" x14ac:dyDescent="0.25">
      <c r="A35" s="40" t="s">
        <v>230</v>
      </c>
      <c r="B35" s="41">
        <f>COUNTIF(Реестр!$H$3:$H$202,"Отменена заказчиком")</f>
      </c>
      <c r="C35" s="42">
        <f>SUMIF(Реестр!$H$3:$H$202,"Отменена заказчиком",Реестр!$F$3:$F$202)</f>
      </c>
      <c r="D35" s="42">
        <f>SUMIF(Реестр!$H$3:$H$202,"Отменена заказчиком",Реестр!$AI$3:$AI$202)</f>
      </c>
    </row>
    <row r="36" ht="17" customHeight="1" spans="1:4" x14ac:dyDescent="0.25">
      <c r="A36" s="49" t="s">
        <v>107</v>
      </c>
      <c r="B36" s="50">
        <f>COUNTIF(Реестр!$H$3:$H$202,"Договор заключён")</f>
      </c>
      <c r="C36" s="51">
        <f>SUMIF(Реестр!$H$3:$H$202,"Договор заключён",Реестр!$F$3:$F$202)</f>
      </c>
      <c r="D36" s="51">
        <f>SUMIF(Реестр!$H$3:$H$202,"Договор заключён",Реестр!$AI$3:$AI$202)</f>
      </c>
    </row>
    <row r="37" ht="17" customHeight="1" spans="1:4" x14ac:dyDescent="0.25">
      <c r="A37" s="49" t="s">
        <v>231</v>
      </c>
      <c r="B37" s="50">
        <f>COUNTIF(Реестр!$H$3:$H$202,"Договор исполняется")</f>
      </c>
      <c r="C37" s="51">
        <f>SUMIF(Реестр!$H$3:$H$202,"Договор исполняется",Реестр!$F$3:$F$202)</f>
      </c>
      <c r="D37" s="51">
        <f>SUMIF(Реестр!$H$3:$H$202,"Договор исполняется",Реестр!$AI$3:$AI$202)</f>
      </c>
    </row>
    <row r="38" ht="17" customHeight="1" spans="1:4" x14ac:dyDescent="0.25">
      <c r="A38" s="49" t="s">
        <v>232</v>
      </c>
      <c r="B38" s="50">
        <f>COUNTIF(Реестр!$H$3:$H$202,"Исполнен/закрыт")</f>
      </c>
      <c r="C38" s="51">
        <f>SUMIF(Реестр!$H$3:$H$202,"Исполнен/закрыт",Реестр!$F$3:$F$202)</f>
      </c>
      <c r="D38" s="51">
        <f>SUMIF(Реестр!$H$3:$H$202,"Исполнен/закрыт",Реестр!$AI$3:$AI$202)</f>
      </c>
    </row>
    <row r="39" ht="17" customHeight="1" spans="1:4" x14ac:dyDescent="0.25">
      <c r="A39" s="33" t="s">
        <v>298</v>
      </c>
      <c r="B39" s="34">
        <f>SUM(B24:B38)</f>
      </c>
      <c r="C39" s="35">
        <f>SUM(C24:C38)</f>
      </c>
      <c r="D39" s="35">
        <f>SUM(D24:D38)</f>
      </c>
    </row>
    <row r="41" spans="1:4" x14ac:dyDescent="0.25">
      <c r="A41" s="52" t="s">
        <v>299</v>
      </c>
      <c r="B41" s="52"/>
      <c r="C41" s="52"/>
      <c r="D41" s="52"/>
    </row>
    <row r="42" spans="1:4" x14ac:dyDescent="0.25">
      <c r="A42" s="52"/>
      <c r="B42" s="52"/>
      <c r="C42" s="52"/>
      <c r="D42" s="52"/>
    </row>
  </sheetData>
  <sheetProtection sheet="1"/>
  <mergeCells count="1">
    <mergeCell ref="A41:D4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4" customWidth="1"/>
    <col min="3" max="3" width="22" customWidth="1"/>
    <col min="4" max="4" width="24" customWidth="1"/>
    <col min="5" max="5" width="60" customWidth="1"/>
  </cols>
  <sheetData>
    <row r="1" ht="22" customHeight="1" spans="1:1" x14ac:dyDescent="0.25">
      <c r="A1" s="20" t="s">
        <v>300</v>
      </c>
    </row>
    <row r="2" ht="16" customHeight="1" spans="1:1" x14ac:dyDescent="0.25">
      <c r="A2" s="21" t="s">
        <v>301</v>
      </c>
    </row>
    <row r="4" ht="32" customHeight="1" spans="1:5" x14ac:dyDescent="0.25">
      <c r="A4" s="6" t="s">
        <v>302</v>
      </c>
      <c r="B4" s="6" t="s">
        <v>303</v>
      </c>
      <c r="C4" s="6" t="s">
        <v>304</v>
      </c>
      <c r="D4" s="6" t="s">
        <v>305</v>
      </c>
      <c r="E4" s="6" t="s">
        <v>306</v>
      </c>
    </row>
    <row r="5" ht="34" customHeight="1" spans="1:5" x14ac:dyDescent="0.25">
      <c r="A5" s="53" t="s">
        <v>0</v>
      </c>
      <c r="B5" s="54" t="s">
        <v>5</v>
      </c>
      <c r="C5" s="55" t="s">
        <v>307</v>
      </c>
      <c r="D5" s="55" t="s">
        <v>0</v>
      </c>
      <c r="E5" s="55" t="s">
        <v>308</v>
      </c>
    </row>
    <row r="6" ht="30" customHeight="1" spans="1:5" x14ac:dyDescent="0.25">
      <c r="A6" s="56" t="s">
        <v>309</v>
      </c>
      <c r="B6" s="56" t="s">
        <v>6</v>
      </c>
      <c r="C6" s="56" t="s">
        <v>51</v>
      </c>
      <c r="D6" s="56" t="s">
        <v>0</v>
      </c>
      <c r="E6" s="56" t="s">
        <v>310</v>
      </c>
    </row>
    <row r="7" ht="48" customHeight="1" spans="1:5" x14ac:dyDescent="0.25">
      <c r="A7" s="56" t="s">
        <v>309</v>
      </c>
      <c r="B7" s="56" t="s">
        <v>7</v>
      </c>
      <c r="C7" s="56" t="s">
        <v>51</v>
      </c>
      <c r="D7" s="56" t="s">
        <v>0</v>
      </c>
      <c r="E7" s="56" t="s">
        <v>311</v>
      </c>
    </row>
    <row r="8" ht="62" customHeight="1" spans="1:5" x14ac:dyDescent="0.25">
      <c r="A8" s="56" t="s">
        <v>309</v>
      </c>
      <c r="B8" s="56" t="s">
        <v>8</v>
      </c>
      <c r="C8" s="56" t="s">
        <v>51</v>
      </c>
      <c r="D8" s="56" t="s">
        <v>0</v>
      </c>
      <c r="E8" s="56" t="s">
        <v>312</v>
      </c>
    </row>
    <row r="9" ht="34" customHeight="1" spans="1:5" x14ac:dyDescent="0.25">
      <c r="A9" s="56" t="s">
        <v>309</v>
      </c>
      <c r="B9" s="56" t="s">
        <v>9</v>
      </c>
      <c r="C9" s="56" t="s">
        <v>51</v>
      </c>
      <c r="D9" s="56" t="s">
        <v>0</v>
      </c>
      <c r="E9" s="56" t="s">
        <v>313</v>
      </c>
    </row>
    <row r="10" ht="34" customHeight="1" spans="1:5" x14ac:dyDescent="0.25">
      <c r="A10" s="56" t="s">
        <v>309</v>
      </c>
      <c r="B10" s="56" t="s">
        <v>10</v>
      </c>
      <c r="C10" s="56" t="s">
        <v>51</v>
      </c>
      <c r="D10" s="56" t="s">
        <v>0</v>
      </c>
      <c r="E10" s="56" t="s">
        <v>314</v>
      </c>
    </row>
    <row r="11" ht="48" customHeight="1" spans="1:5" x14ac:dyDescent="0.25">
      <c r="A11" s="56" t="s">
        <v>309</v>
      </c>
      <c r="B11" s="56" t="s">
        <v>11</v>
      </c>
      <c r="C11" s="56" t="s">
        <v>51</v>
      </c>
      <c r="D11" s="56" t="s">
        <v>0</v>
      </c>
      <c r="E11" s="56" t="s">
        <v>315</v>
      </c>
    </row>
    <row r="12" ht="76" customHeight="1" spans="1:5" x14ac:dyDescent="0.25">
      <c r="A12" s="56" t="s">
        <v>309</v>
      </c>
      <c r="B12" s="56" t="s">
        <v>12</v>
      </c>
      <c r="C12" s="56" t="s">
        <v>51</v>
      </c>
      <c r="D12" s="56" t="s">
        <v>316</v>
      </c>
      <c r="E12" s="56" t="s">
        <v>317</v>
      </c>
    </row>
    <row r="13" ht="34" customHeight="1" spans="1:5" x14ac:dyDescent="0.25">
      <c r="A13" s="56" t="s">
        <v>309</v>
      </c>
      <c r="B13" s="56" t="s">
        <v>13</v>
      </c>
      <c r="C13" s="56" t="s">
        <v>96</v>
      </c>
      <c r="D13" s="56" t="s">
        <v>0</v>
      </c>
      <c r="E13" s="56" t="s">
        <v>318</v>
      </c>
    </row>
    <row r="14" ht="34" customHeight="1" spans="1:5" x14ac:dyDescent="0.25">
      <c r="A14" s="56" t="s">
        <v>309</v>
      </c>
      <c r="B14" s="56" t="s">
        <v>14</v>
      </c>
      <c r="C14" s="56" t="s">
        <v>51</v>
      </c>
      <c r="D14" s="56" t="s">
        <v>0</v>
      </c>
      <c r="E14" s="56" t="s">
        <v>319</v>
      </c>
    </row>
    <row r="15" ht="34" customHeight="1" spans="1:5" x14ac:dyDescent="0.25">
      <c r="A15" s="56" t="s">
        <v>309</v>
      </c>
      <c r="B15" s="56" t="s">
        <v>15</v>
      </c>
      <c r="C15" s="56" t="s">
        <v>51</v>
      </c>
      <c r="D15" s="56" t="s">
        <v>0</v>
      </c>
      <c r="E15" s="56" t="s">
        <v>320</v>
      </c>
    </row>
    <row r="16" ht="34" customHeight="1" spans="1:5" x14ac:dyDescent="0.25">
      <c r="A16" s="53" t="s">
        <v>1</v>
      </c>
      <c r="B16" s="54" t="s">
        <v>16</v>
      </c>
      <c r="C16" s="54" t="s">
        <v>51</v>
      </c>
      <c r="D16" s="54" t="s">
        <v>1</v>
      </c>
      <c r="E16" s="54" t="s">
        <v>321</v>
      </c>
    </row>
    <row r="17" ht="34" customHeight="1" spans="1:5" x14ac:dyDescent="0.25">
      <c r="A17" s="56" t="s">
        <v>309</v>
      </c>
      <c r="B17" s="56" t="s">
        <v>17</v>
      </c>
      <c r="C17" s="56" t="s">
        <v>51</v>
      </c>
      <c r="D17" s="56" t="s">
        <v>1</v>
      </c>
      <c r="E17" s="56" t="s">
        <v>322</v>
      </c>
    </row>
    <row r="18" ht="34" customHeight="1" spans="1:5" x14ac:dyDescent="0.25">
      <c r="A18" s="56" t="s">
        <v>309</v>
      </c>
      <c r="B18" s="56" t="s">
        <v>18</v>
      </c>
      <c r="C18" s="56" t="s">
        <v>51</v>
      </c>
      <c r="D18" s="56" t="s">
        <v>1</v>
      </c>
      <c r="E18" s="56" t="s">
        <v>323</v>
      </c>
    </row>
    <row r="19" ht="48" customHeight="1" spans="1:5" x14ac:dyDescent="0.25">
      <c r="A19" s="56" t="s">
        <v>309</v>
      </c>
      <c r="B19" s="56" t="s">
        <v>19</v>
      </c>
      <c r="C19" s="57" t="s">
        <v>307</v>
      </c>
      <c r="D19" s="57" t="s">
        <v>1</v>
      </c>
      <c r="E19" s="57" t="s">
        <v>324</v>
      </c>
    </row>
    <row r="20" ht="48" customHeight="1" spans="1:5" x14ac:dyDescent="0.25">
      <c r="A20" s="56" t="s">
        <v>309</v>
      </c>
      <c r="B20" s="56" t="s">
        <v>20</v>
      </c>
      <c r="C20" s="56" t="s">
        <v>51</v>
      </c>
      <c r="D20" s="56" t="s">
        <v>1</v>
      </c>
      <c r="E20" s="56" t="s">
        <v>325</v>
      </c>
    </row>
    <row r="21" ht="34" customHeight="1" spans="1:5" x14ac:dyDescent="0.25">
      <c r="A21" s="56" t="s">
        <v>309</v>
      </c>
      <c r="B21" s="56" t="s">
        <v>21</v>
      </c>
      <c r="C21" s="56" t="s">
        <v>96</v>
      </c>
      <c r="D21" s="56" t="s">
        <v>1</v>
      </c>
      <c r="E21" s="56" t="s">
        <v>326</v>
      </c>
    </row>
    <row r="22" ht="30" customHeight="1" spans="1:5" x14ac:dyDescent="0.25">
      <c r="A22" s="56" t="s">
        <v>309</v>
      </c>
      <c r="B22" s="56" t="s">
        <v>22</v>
      </c>
      <c r="C22" s="56" t="s">
        <v>51</v>
      </c>
      <c r="D22" s="56" t="s">
        <v>1</v>
      </c>
      <c r="E22" s="56" t="s">
        <v>327</v>
      </c>
    </row>
    <row r="23" ht="34" customHeight="1" spans="1:5" x14ac:dyDescent="0.25">
      <c r="A23" s="56" t="s">
        <v>309</v>
      </c>
      <c r="B23" s="56" t="s">
        <v>23</v>
      </c>
      <c r="C23" s="56" t="s">
        <v>51</v>
      </c>
      <c r="D23" s="56" t="s">
        <v>1</v>
      </c>
      <c r="E23" s="56" t="s">
        <v>328</v>
      </c>
    </row>
    <row r="24" ht="48" customHeight="1" spans="1:5" x14ac:dyDescent="0.25">
      <c r="A24" s="56" t="s">
        <v>309</v>
      </c>
      <c r="B24" s="56" t="s">
        <v>24</v>
      </c>
      <c r="C24" s="56" t="s">
        <v>51</v>
      </c>
      <c r="D24" s="56" t="s">
        <v>329</v>
      </c>
      <c r="E24" s="56" t="s">
        <v>330</v>
      </c>
    </row>
    <row r="25" ht="30" customHeight="1" spans="1:5" x14ac:dyDescent="0.25">
      <c r="A25" s="56" t="s">
        <v>309</v>
      </c>
      <c r="B25" s="56" t="s">
        <v>25</v>
      </c>
      <c r="C25" s="56" t="s">
        <v>51</v>
      </c>
      <c r="D25" s="56" t="s">
        <v>1</v>
      </c>
      <c r="E25" s="56" t="s">
        <v>331</v>
      </c>
    </row>
    <row r="26" ht="30" customHeight="1" spans="1:5" x14ac:dyDescent="0.25">
      <c r="A26" s="53" t="s">
        <v>2</v>
      </c>
      <c r="B26" s="54" t="s">
        <v>26</v>
      </c>
      <c r="C26" s="54" t="s">
        <v>51</v>
      </c>
      <c r="D26" s="54" t="s">
        <v>2</v>
      </c>
      <c r="E26" s="54" t="s">
        <v>332</v>
      </c>
    </row>
    <row r="27" ht="30" customHeight="1" spans="1:5" x14ac:dyDescent="0.25">
      <c r="A27" s="56" t="s">
        <v>309</v>
      </c>
      <c r="B27" s="56" t="s">
        <v>27</v>
      </c>
      <c r="C27" s="56" t="s">
        <v>51</v>
      </c>
      <c r="D27" s="56" t="s">
        <v>2</v>
      </c>
      <c r="E27" s="56" t="s">
        <v>333</v>
      </c>
    </row>
    <row r="28" ht="34" customHeight="1" spans="1:5" x14ac:dyDescent="0.25">
      <c r="A28" s="56" t="s">
        <v>309</v>
      </c>
      <c r="B28" s="56" t="s">
        <v>28</v>
      </c>
      <c r="C28" s="56" t="s">
        <v>51</v>
      </c>
      <c r="D28" s="56" t="s">
        <v>2</v>
      </c>
      <c r="E28" s="56" t="s">
        <v>334</v>
      </c>
    </row>
    <row r="29" ht="34" customHeight="1" spans="1:5" x14ac:dyDescent="0.25">
      <c r="A29" s="53" t="s">
        <v>3</v>
      </c>
      <c r="B29" s="54" t="s">
        <v>29</v>
      </c>
      <c r="C29" s="54" t="s">
        <v>51</v>
      </c>
      <c r="D29" s="54" t="s">
        <v>3</v>
      </c>
      <c r="E29" s="54" t="s">
        <v>335</v>
      </c>
    </row>
    <row r="30" ht="30" customHeight="1" spans="1:5" x14ac:dyDescent="0.25">
      <c r="A30" s="56" t="s">
        <v>309</v>
      </c>
      <c r="B30" s="56" t="s">
        <v>30</v>
      </c>
      <c r="C30" s="56" t="s">
        <v>51</v>
      </c>
      <c r="D30" s="56" t="s">
        <v>3</v>
      </c>
      <c r="E30" s="56" t="s">
        <v>336</v>
      </c>
    </row>
    <row r="31" ht="30" customHeight="1" spans="1:5" x14ac:dyDescent="0.25">
      <c r="A31" s="56" t="s">
        <v>309</v>
      </c>
      <c r="B31" s="56" t="s">
        <v>31</v>
      </c>
      <c r="C31" s="56" t="s">
        <v>51</v>
      </c>
      <c r="D31" s="56" t="s">
        <v>3</v>
      </c>
      <c r="E31" s="56" t="s">
        <v>337</v>
      </c>
    </row>
    <row r="32" ht="34" customHeight="1" spans="1:5" x14ac:dyDescent="0.25">
      <c r="A32" s="56" t="s">
        <v>309</v>
      </c>
      <c r="B32" s="56" t="s">
        <v>32</v>
      </c>
      <c r="C32" s="57" t="s">
        <v>307</v>
      </c>
      <c r="D32" s="57" t="s">
        <v>3</v>
      </c>
      <c r="E32" s="57" t="s">
        <v>338</v>
      </c>
    </row>
    <row r="33" ht="30" customHeight="1" spans="1:5" x14ac:dyDescent="0.25">
      <c r="A33" s="56" t="s">
        <v>309</v>
      </c>
      <c r="B33" s="56" t="s">
        <v>33</v>
      </c>
      <c r="C33" s="56" t="s">
        <v>96</v>
      </c>
      <c r="D33" s="56" t="s">
        <v>3</v>
      </c>
      <c r="E33" s="56" t="s">
        <v>339</v>
      </c>
    </row>
    <row r="34" ht="30" customHeight="1" spans="1:5" x14ac:dyDescent="0.25">
      <c r="A34" s="56" t="s">
        <v>309</v>
      </c>
      <c r="B34" s="56" t="s">
        <v>34</v>
      </c>
      <c r="C34" s="56" t="s">
        <v>51</v>
      </c>
      <c r="D34" s="56" t="s">
        <v>3</v>
      </c>
      <c r="E34" s="56" t="s">
        <v>340</v>
      </c>
    </row>
    <row r="35" ht="34" customHeight="1" spans="1:5" x14ac:dyDescent="0.25">
      <c r="A35" s="56" t="s">
        <v>309</v>
      </c>
      <c r="B35" s="56" t="s">
        <v>35</v>
      </c>
      <c r="C35" s="56" t="s">
        <v>51</v>
      </c>
      <c r="D35" s="56" t="s">
        <v>3</v>
      </c>
      <c r="E35" s="56" t="s">
        <v>341</v>
      </c>
    </row>
    <row r="36" ht="48" customHeight="1" spans="1:5" x14ac:dyDescent="0.25">
      <c r="A36" s="56" t="s">
        <v>309</v>
      </c>
      <c r="B36" s="56" t="s">
        <v>36</v>
      </c>
      <c r="C36" s="56" t="s">
        <v>51</v>
      </c>
      <c r="D36" s="56" t="s">
        <v>342</v>
      </c>
      <c r="E36" s="56" t="s">
        <v>343</v>
      </c>
    </row>
    <row r="37" ht="34" customHeight="1" spans="1:5" x14ac:dyDescent="0.25">
      <c r="A37" s="56" t="s">
        <v>309</v>
      </c>
      <c r="B37" s="56" t="s">
        <v>37</v>
      </c>
      <c r="C37" s="56" t="s">
        <v>51</v>
      </c>
      <c r="D37" s="56" t="s">
        <v>228</v>
      </c>
      <c r="E37" s="56" t="s">
        <v>344</v>
      </c>
    </row>
    <row r="38" ht="30" customHeight="1" spans="1:5" x14ac:dyDescent="0.25">
      <c r="A38" s="56" t="s">
        <v>309</v>
      </c>
      <c r="B38" s="56" t="s">
        <v>38</v>
      </c>
      <c r="C38" s="56" t="s">
        <v>51</v>
      </c>
      <c r="D38" s="56" t="s">
        <v>228</v>
      </c>
      <c r="E38" s="56" t="s">
        <v>345</v>
      </c>
    </row>
    <row r="39" ht="34" customHeight="1" spans="1:5" x14ac:dyDescent="0.25">
      <c r="A39" s="56" t="s">
        <v>309</v>
      </c>
      <c r="B39" s="56" t="s">
        <v>39</v>
      </c>
      <c r="C39" s="56" t="s">
        <v>51</v>
      </c>
      <c r="D39" s="56" t="s">
        <v>228</v>
      </c>
      <c r="E39" s="56" t="s">
        <v>346</v>
      </c>
    </row>
    <row r="40" ht="30" customHeight="1" spans="1:5" x14ac:dyDescent="0.25">
      <c r="A40" s="56" t="s">
        <v>309</v>
      </c>
      <c r="B40" s="56" t="s">
        <v>40</v>
      </c>
      <c r="C40" s="56" t="s">
        <v>51</v>
      </c>
      <c r="D40" s="56" t="s">
        <v>228</v>
      </c>
      <c r="E40" s="56" t="s">
        <v>347</v>
      </c>
    </row>
    <row r="41" ht="34" customHeight="1" spans="1:5" x14ac:dyDescent="0.25">
      <c r="A41" s="56" t="s">
        <v>309</v>
      </c>
      <c r="B41" s="56" t="s">
        <v>41</v>
      </c>
      <c r="C41" s="56" t="s">
        <v>51</v>
      </c>
      <c r="D41" s="56" t="s">
        <v>228</v>
      </c>
      <c r="E41" s="56" t="s">
        <v>348</v>
      </c>
    </row>
    <row r="42" ht="34" customHeight="1" spans="1:5" x14ac:dyDescent="0.25">
      <c r="A42" s="53" t="s">
        <v>4</v>
      </c>
      <c r="B42" s="54" t="s">
        <v>349</v>
      </c>
      <c r="C42" s="55" t="s">
        <v>307</v>
      </c>
      <c r="D42" s="55" t="s">
        <v>350</v>
      </c>
      <c r="E42" s="55" t="s">
        <v>351</v>
      </c>
    </row>
    <row r="43" ht="34" customHeight="1" spans="1:5" x14ac:dyDescent="0.25">
      <c r="A43" s="56" t="s">
        <v>309</v>
      </c>
      <c r="B43" s="56" t="s">
        <v>352</v>
      </c>
      <c r="C43" s="57" t="s">
        <v>307</v>
      </c>
      <c r="D43" s="57" t="s">
        <v>350</v>
      </c>
      <c r="E43" s="57" t="s">
        <v>353</v>
      </c>
    </row>
    <row r="45" ht="24" customHeight="1" spans="1:5" x14ac:dyDescent="0.25">
      <c r="A45" s="58" t="s">
        <v>354</v>
      </c>
      <c r="B45" s="58"/>
      <c r="C45" s="58"/>
      <c r="D45" s="58"/>
      <c r="E45" s="58"/>
    </row>
    <row r="46" ht="16" customHeight="1" spans="1:5" x14ac:dyDescent="0.25">
      <c r="A46" s="59" t="s">
        <v>355</v>
      </c>
      <c r="B46" s="59"/>
      <c r="C46" s="59"/>
      <c r="D46" s="59"/>
      <c r="E46" s="59"/>
    </row>
    <row r="47" ht="28" customHeight="1" spans="1:5" x14ac:dyDescent="0.25">
      <c r="A47" s="59" t="s">
        <v>356</v>
      </c>
      <c r="B47" s="59"/>
      <c r="C47" s="59"/>
      <c r="D47" s="59"/>
      <c r="E47" s="59"/>
    </row>
    <row r="48" ht="28" customHeight="1" spans="1:5" x14ac:dyDescent="0.25">
      <c r="A48" s="59" t="s">
        <v>357</v>
      </c>
      <c r="B48" s="59"/>
      <c r="C48" s="59"/>
      <c r="D48" s="59"/>
      <c r="E48" s="59"/>
    </row>
    <row r="49" ht="16" customHeight="1" spans="1:5" x14ac:dyDescent="0.25">
      <c r="A49" s="59" t="s">
        <v>358</v>
      </c>
      <c r="B49" s="59"/>
      <c r="C49" s="59"/>
      <c r="D49" s="59"/>
      <c r="E49" s="59"/>
    </row>
    <row r="50" ht="16" customHeight="1" spans="1:5" x14ac:dyDescent="0.25">
      <c r="A50" s="59" t="s">
        <v>359</v>
      </c>
      <c r="B50" s="59"/>
      <c r="C50" s="59"/>
      <c r="D50" s="59"/>
      <c r="E50" s="59"/>
    </row>
    <row r="52" ht="24" customHeight="1" spans="1:5" x14ac:dyDescent="0.25">
      <c r="A52" s="58" t="s">
        <v>360</v>
      </c>
      <c r="B52" s="58"/>
      <c r="C52" s="58"/>
      <c r="D52" s="58"/>
      <c r="E52" s="58"/>
    </row>
    <row r="53" ht="28" customHeight="1" spans="1:5" x14ac:dyDescent="0.25">
      <c r="A53" s="59" t="s">
        <v>361</v>
      </c>
      <c r="B53" s="59"/>
      <c r="C53" s="59"/>
      <c r="D53" s="59"/>
      <c r="E53" s="59"/>
    </row>
    <row r="54" ht="16" customHeight="1" spans="1:5" x14ac:dyDescent="0.25">
      <c r="A54" s="59" t="s">
        <v>362</v>
      </c>
      <c r="B54" s="59"/>
      <c r="C54" s="59"/>
      <c r="D54" s="59"/>
      <c r="E54" s="59"/>
    </row>
    <row r="55" ht="16" customHeight="1" spans="1:5" x14ac:dyDescent="0.25">
      <c r="A55" s="59" t="s">
        <v>363</v>
      </c>
      <c r="B55" s="59"/>
      <c r="C55" s="59"/>
      <c r="D55" s="59"/>
      <c r="E55" s="59"/>
    </row>
    <row r="56" ht="16" customHeight="1" spans="1:5" x14ac:dyDescent="0.25">
      <c r="A56" s="59" t="s">
        <v>364</v>
      </c>
      <c r="B56" s="59"/>
      <c r="C56" s="59"/>
      <c r="D56" s="59"/>
      <c r="E56" s="59"/>
    </row>
    <row r="57" ht="16" customHeight="1" spans="1:5" x14ac:dyDescent="0.25">
      <c r="A57" s="59" t="s">
        <v>365</v>
      </c>
      <c r="B57" s="59"/>
      <c r="C57" s="59"/>
      <c r="D57" s="59"/>
      <c r="E57" s="59"/>
    </row>
    <row r="58" ht="16" customHeight="1" spans="1:5" x14ac:dyDescent="0.25">
      <c r="A58" s="59" t="s">
        <v>366</v>
      </c>
      <c r="B58" s="59"/>
      <c r="C58" s="59"/>
      <c r="D58" s="59"/>
      <c r="E58" s="59"/>
    </row>
    <row r="60" ht="24" customHeight="1" spans="1:5" x14ac:dyDescent="0.25">
      <c r="A60" s="58" t="s">
        <v>367</v>
      </c>
      <c r="B60" s="58"/>
      <c r="C60" s="58"/>
      <c r="D60" s="58"/>
      <c r="E60" s="58"/>
    </row>
    <row r="61" ht="16" customHeight="1" spans="1:5" x14ac:dyDescent="0.25">
      <c r="A61" s="59" t="s">
        <v>368</v>
      </c>
      <c r="B61" s="59"/>
      <c r="C61" s="59"/>
      <c r="D61" s="59"/>
      <c r="E61" s="59"/>
    </row>
    <row r="62" ht="28" customHeight="1" spans="1:5" x14ac:dyDescent="0.25">
      <c r="A62" s="59" t="s">
        <v>369</v>
      </c>
      <c r="B62" s="59"/>
      <c r="C62" s="59"/>
      <c r="D62" s="59"/>
      <c r="E62" s="59"/>
    </row>
    <row r="63" ht="28" customHeight="1" spans="1:5" x14ac:dyDescent="0.25">
      <c r="A63" s="59" t="s">
        <v>370</v>
      </c>
      <c r="B63" s="59"/>
      <c r="C63" s="59"/>
      <c r="D63" s="59"/>
      <c r="E63" s="59"/>
    </row>
    <row r="64" ht="42" customHeight="1" spans="1:5" x14ac:dyDescent="0.25">
      <c r="A64" s="59" t="s">
        <v>371</v>
      </c>
      <c r="B64" s="59"/>
      <c r="C64" s="59"/>
      <c r="D64" s="59"/>
      <c r="E64" s="59"/>
    </row>
    <row r="66" ht="24" customHeight="1" spans="1:5" x14ac:dyDescent="0.25">
      <c r="A66" s="58" t="s">
        <v>372</v>
      </c>
      <c r="B66" s="58"/>
      <c r="C66" s="58"/>
      <c r="D66" s="58"/>
      <c r="E66" s="58"/>
    </row>
    <row r="67" ht="16" customHeight="1" spans="1:5" x14ac:dyDescent="0.25">
      <c r="A67" s="59" t="s">
        <v>373</v>
      </c>
      <c r="B67" s="59"/>
      <c r="C67" s="59"/>
      <c r="D67" s="59"/>
      <c r="E67" s="59"/>
    </row>
    <row r="68" ht="16" customHeight="1" spans="1:5" x14ac:dyDescent="0.25">
      <c r="A68" s="59" t="s">
        <v>374</v>
      </c>
      <c r="B68" s="59"/>
      <c r="C68" s="59"/>
      <c r="D68" s="59"/>
      <c r="E68" s="59"/>
    </row>
    <row r="69" ht="16" customHeight="1" spans="1:5" x14ac:dyDescent="0.25">
      <c r="A69" s="59" t="s">
        <v>375</v>
      </c>
      <c r="B69" s="59"/>
      <c r="C69" s="59"/>
      <c r="D69" s="59"/>
      <c r="E69" s="59"/>
    </row>
    <row r="70" ht="16" customHeight="1" spans="1:5" x14ac:dyDescent="0.25">
      <c r="A70" s="59" t="s">
        <v>376</v>
      </c>
      <c r="B70" s="59"/>
      <c r="C70" s="59"/>
      <c r="D70" s="59"/>
      <c r="E70" s="59"/>
    </row>
    <row r="71" ht="28" customHeight="1" spans="1:5" x14ac:dyDescent="0.25">
      <c r="A71" s="59" t="s">
        <v>377</v>
      </c>
      <c r="B71" s="59"/>
      <c r="C71" s="59"/>
      <c r="D71" s="59"/>
      <c r="E71" s="59"/>
    </row>
    <row r="73" ht="24" customHeight="1" spans="1:5" x14ac:dyDescent="0.25">
      <c r="A73" s="58" t="s">
        <v>378</v>
      </c>
      <c r="B73" s="58"/>
      <c r="C73" s="58"/>
      <c r="D73" s="58"/>
      <c r="E73" s="58"/>
    </row>
    <row r="74" ht="28" customHeight="1" spans="1:5" x14ac:dyDescent="0.25">
      <c r="A74" s="59" t="s">
        <v>379</v>
      </c>
      <c r="B74" s="59"/>
      <c r="C74" s="59"/>
      <c r="D74" s="59"/>
      <c r="E74" s="59"/>
    </row>
    <row r="75" ht="16" customHeight="1" spans="1:5" x14ac:dyDescent="0.25">
      <c r="A75" s="59" t="s">
        <v>380</v>
      </c>
      <c r="B75" s="59"/>
      <c r="C75" s="59"/>
      <c r="D75" s="59"/>
      <c r="E75" s="59"/>
    </row>
    <row r="76" ht="16" customHeight="1" spans="1:5" x14ac:dyDescent="0.25">
      <c r="A76" s="59" t="s">
        <v>381</v>
      </c>
      <c r="B76" s="59"/>
      <c r="C76" s="59"/>
      <c r="D76" s="59"/>
      <c r="E76" s="59"/>
    </row>
    <row r="77" ht="28" customHeight="1" spans="1:5" x14ac:dyDescent="0.25">
      <c r="A77" s="59" t="s">
        <v>382</v>
      </c>
      <c r="B77" s="59"/>
      <c r="C77" s="59"/>
      <c r="D77" s="59"/>
      <c r="E77" s="59"/>
    </row>
    <row r="78" ht="28" customHeight="1" spans="1:5" x14ac:dyDescent="0.25">
      <c r="A78" s="59" t="s">
        <v>383</v>
      </c>
      <c r="B78" s="59"/>
      <c r="C78" s="59"/>
      <c r="D78" s="59"/>
      <c r="E78" s="59"/>
    </row>
    <row r="80" spans="1:5" x14ac:dyDescent="0.25">
      <c r="A80" s="21" t="s">
        <v>384</v>
      </c>
      <c r="B80" s="21"/>
      <c r="C80" s="21"/>
      <c r="D80" s="21"/>
      <c r="E80" s="21"/>
    </row>
  </sheetData>
  <autoFilter ref="A4:E4"/>
  <mergeCells count="31">
    <mergeCell ref="A45:E45"/>
    <mergeCell ref="A46:E46"/>
    <mergeCell ref="A47:E47"/>
    <mergeCell ref="A48:E48"/>
    <mergeCell ref="A49:E49"/>
    <mergeCell ref="A50:E50"/>
    <mergeCell ref="A52:E52"/>
    <mergeCell ref="A53:E53"/>
    <mergeCell ref="A54:E54"/>
    <mergeCell ref="A55:E55"/>
    <mergeCell ref="A56:E56"/>
    <mergeCell ref="A57:E57"/>
    <mergeCell ref="A58:E58"/>
    <mergeCell ref="A60:E60"/>
    <mergeCell ref="A61:E61"/>
    <mergeCell ref="A62:E62"/>
    <mergeCell ref="A63:E63"/>
    <mergeCell ref="A64:E64"/>
    <mergeCell ref="A66:E66"/>
    <mergeCell ref="A67:E67"/>
    <mergeCell ref="A68:E68"/>
    <mergeCell ref="A69:E69"/>
    <mergeCell ref="A70:E70"/>
    <mergeCell ref="A71:E71"/>
    <mergeCell ref="A73:E73"/>
    <mergeCell ref="A74:E74"/>
    <mergeCell ref="A75:E75"/>
    <mergeCell ref="A76:E76"/>
    <mergeCell ref="A77:E77"/>
    <mergeCell ref="A78:E78"/>
    <mergeCell ref="A80:E8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Реестр</vt:lpstr>
      <vt:lpstr>Заказчики</vt:lpstr>
      <vt:lpstr>Поставщики</vt:lpstr>
      <vt:lpstr>Договоры</vt:lpstr>
      <vt:lpstr>Справочники</vt:lpstr>
      <vt:lpstr>Дашборд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Реестр тендеров</dc:creator>
  <dc:title/>
  <dc:subject/>
  <dc:description/>
  <cp:keywords/>
  <cp:category/>
  <cp:lastModifiedBy>Unknown</cp:lastModifiedBy>
  <dcterms:created xsi:type="dcterms:W3CDTF">2026-08-29T00:00:00Z</dcterms:created>
  <dcterms:modified xsi:type="dcterms:W3CDTF">2026-08-29T00:00:00Z</dcterms:modified>
</cp:coreProperties>
</file>